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6"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Т-во'!$206:$207</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Т-во'!$208:$209</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тарифов'!$121:$177</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территорий'!$E$39:$I$39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тарифов'!$Z$12:$Z$179</definedName>
    <definedName name="DIFFERENTIATION_TARIFF_VD_ID">'Перечень тарифов'!$AB$12:$AB$179</definedName>
    <definedName name="DIFFERENTIATION_TARIFF_VTAR_ID">'Перечень тарифов'!$AA$12:$AA$179</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Предложение!$114:$116</definedName>
    <definedName name="OFFER_TARIFF_A_COLDVSNA_3">Предложение!$178:$180</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Предложение!$129:$131</definedName>
    <definedName name="OFFER_TARIFF_A_HOTVSNA_3">Предложение!$193:$195</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Предложение!$138:$143</definedName>
    <definedName name="OFFER_TARIFF_A_VOTV_3">Предложение!$202:$207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Предложение!$90:$92</definedName>
    <definedName name="OFFER_TARIFF_B_3">Предложение!$154:$156</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Предложение!$117:$119</definedName>
    <definedName name="OFFER_TARIFF_B_COLDVSNA_3">Предложение!$181:$183</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Предложение!$132:$134</definedName>
    <definedName name="OFFER_TARIFF_B_HOTVSNA_3">Предложение!$196:$198</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Предложение!$93:$95</definedName>
    <definedName name="OFFER_TARIFF_C_3">Предложение!$157:$159</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Предложение!$120:$122</definedName>
    <definedName name="OFFER_TARIFF_C_COLDVSNA_3">Предложение!$184:$186</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Предложение!$135:$137</definedName>
    <definedName name="OFFER_TARIFF_C_HOTVSNA_3">Предложение!$199:$201</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Предложение!$96:$98</definedName>
    <definedName name="OFFER_TARIFF_D_3">Предложение!$160:$162</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Предложение!$123:$125</definedName>
    <definedName name="OFFER_TARIFF_D_COLDVSNA_3">Предложение!$187:$189</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Предложение!$126:$128</definedName>
    <definedName name="OFFER_TARIFF_E_COLDVSNA_3">Предложение!$190:$192</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Предложение!$99:$101</definedName>
    <definedName name="OFFER_TARIFF_E1_3">Предложение!$163:$165</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Предложение!$102:$104</definedName>
    <definedName name="OFFER_TARIFF_E2_3">Предложение!$166:$168</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Предложение!$105:$107</definedName>
    <definedName name="OFFER_TARIFF_F_3">Предложение!$169:$171</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Предложение!$108:$110</definedName>
    <definedName name="OFFER_TARIFF_G_3">Предложение!$172:$174</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территорий'!$C$12:$C$39</definedName>
    <definedName name="pDel_LT_MO">'Список территорий'!$D$11:$D$39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Предложение!$G$180</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Предложение!$G$195</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Предложение!$G$278</definedName>
    <definedName name="pIns_PT_VTAR_A_VOTV">'ВО. Т-во'!$T$205</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Предложение!$G$183</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Предложение!$G$198</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Предложение!$G$92</definedName>
    <definedName name="pIns_PT_VTAR_B_OFFER_3">Предложение!$G$156</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Предложение!$G$186</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Предложение!$G$201</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Предложение!$G$95</definedName>
    <definedName name="pIns_PT_VTAR_C_OFFER_3">Предложение!$G$159</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Предложение!$G$189</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Предложение!$G$98</definedName>
    <definedName name="pIns_PT_VTAR_D_OFFER_3">Предложение!$G$162</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Предложение!$G$192</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Предложение!$G$165</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Предложение!$G$168</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Предложение!$G$171</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Предложение!$G$174</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Предложение!$G$177</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Т-во'!$BE$37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тарифов'!$AL$12:$AL$179</definedName>
    <definedName name="PT_DIFFERENTIATION_CS_ID">'Перечень тарифов'!$AF$12:$AF$179</definedName>
    <definedName name="PT_DIFFERENTIATION_IST_TE">'Перечень тарифов'!$AM$12:$AM$179</definedName>
    <definedName name="PT_DIFFERENTIATION_IST_TE_ID">'Перечень тарифов'!$AG$12:$AG$179</definedName>
    <definedName name="PT_DIFFERENTIATION_NTAR">'Перечень тарифов'!$AJ$12:$AJ$179</definedName>
    <definedName name="PT_DIFFERENTIATION_NTAR_ID">'Перечень тарифов'!$AD$12:$AD$179</definedName>
    <definedName name="PT_DIFFERENTIATION_NUM_CS">'Перечень тарифов'!$AP$12:$AP$179</definedName>
    <definedName name="PT_DIFFERENTIATION_NUM_IST_TE">'Перечень тарифов'!$AQ$12:$AQ$179</definedName>
    <definedName name="PT_DIFFERENTIATION_NUM_NTAR">'Перечень тарифов'!$AN$12:$AN$179</definedName>
    <definedName name="PT_DIFFERENTIATION_NUM_TER">'Перечень тарифов'!$AO$12:$AO$179</definedName>
    <definedName name="PT_DIFFERENTIATION_TER">'Перечень тарифов'!$AK$12:$AK$179</definedName>
    <definedName name="PT_DIFFERENTIATION_TER_ID">'Перечень тарифов'!$AE$12:$AE$179</definedName>
    <definedName name="PT_DIFFERENTIATION_VDET">'Перечень тарифов'!$AI$12:$AI$179</definedName>
    <definedName name="PT_DIFFERENTIATION_VTAR">'Перечень тарифов'!$AH$12:$AH$179</definedName>
    <definedName name="PT_DIFFERENTIATION_VTAR_ID">'Перечень тарифов'!$AC$12:$AC$179</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Т-во'!$41:$204</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Т-во'!$42:$83</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тарифов'!$W$178</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Т-во'!$BE$206</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территорий'!$I$40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территорий'!$E$11:$I$39</definedName>
    <definedName name="TERRITORY_ID">TEHSHEET!$E$56</definedName>
    <definedName name="TERRITORY_LIST_ID">'Список территорий'!$F$11:$F$39</definedName>
    <definedName name="TERRITORY_MO_LIST">'Список территорий'!$H$11:$H$39</definedName>
    <definedName name="TERRITORY_MR_LIST">'Список территорий'!$G$11:$G$39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pt_cs_30">'ВО. Т-во'!$51:$58</definedName>
    <definedName name="pt_cs_31">'ВО. Т-во'!$59:$66</definedName>
    <definedName name="pt_cs_32">'ВО. Т-во'!$67:$74</definedName>
    <definedName name="pt_cs_33">'ВО. Т-во'!$75:$82</definedName>
    <definedName name="pt_ter_30">'ВО. Т-во'!$84:$101</definedName>
    <definedName name="pt_cs_34">'ВО. Т-во'!$85:$92</definedName>
    <definedName name="pt_ter_31">'ВО. Т-во'!$102:$111</definedName>
    <definedName name="pt_cs_35">'ВО. Т-во'!$103:$110</definedName>
    <definedName name="pt_ter_32">'ВО. Т-во'!$112:$121</definedName>
    <definedName name="pt_cs_36">'ВО. Т-во'!$113:$120</definedName>
    <definedName name="pt_ter_33">'ВО. Т-во'!$122:$131</definedName>
    <definedName name="pt_cs_37">'ВО. Т-во'!$123:$130</definedName>
    <definedName name="pt_ter_34">'ВО. Т-во'!$132:$149</definedName>
    <definedName name="pt_cs_38">'ВО. Т-во'!$133:$140</definedName>
    <definedName name="pt_cs_39">'ВО. Т-во'!$141:$148</definedName>
    <definedName name="pt_ter_35">'ВО. Т-во'!$150:$159</definedName>
    <definedName name="pt_cs_40">'ВО. Т-во'!$151:$158</definedName>
    <definedName name="pt_ter_36">'ВО. Т-во'!$160:$193</definedName>
    <definedName name="pt_cs_41">'ВО. Т-во'!$161:$168</definedName>
    <definedName name="pt_ter_37">'ВО. Т-во'!$194:$203</definedName>
    <definedName name="pt_cs_42">'ВО. Т-во'!$195:$202</definedName>
    <definedName name="pt_cs_43">'ВО. Т-во'!$169:$176</definedName>
    <definedName name="pt_cs_44">'ВО. Т-во'!$177:$184</definedName>
    <definedName name="pt_cs_45">'ВО. Т-во'!$185:$192</definedName>
    <definedName name="DESCRIPTION_TERRITORY">REESTR_DS!$B$2:$B$10</definedName>
    <definedName name="pt_cs_46">'ВО. Т-во'!$93:$100</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<sst xmlns="http://schemas.openxmlformats.org/spreadsheetml/2006/main" count="15385" uniqueCount="3724">
  <si>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</si>
  <si>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</si>
  <si>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</si>
  <si>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</si>
  <si>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</si>
  <si>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</si>
  <si>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</si>
  <si>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</si>
  <si>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</si>
  <si>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</si>
  <si>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</si>
  <si>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</si>
  <si>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</si>
  <si>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30427809</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</si>
  <si>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</si>
  <si>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</si>
  <si>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</si>
  <si>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</si>
  <si>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</si>
  <si>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</si>
  <si>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</si>
  <si>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</si>
  <si>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</si>
  <si>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</si>
  <si>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</si>
  <si>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</si>
  <si>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</si>
  <si>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</si>
  <si>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</si>
  <si>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</si>
  <si>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</si>
  <si>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</si>
  <si>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</si>
  <si>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</si>
  <si>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</si>
  <si>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</si>
  <si>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</si>
  <si>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</si>
  <si>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</si>
  <si>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</si>
  <si>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</si>
  <si>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27-2228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</si>
  <si>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</si>
  <si>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</si>
  <si>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</si>
  <si>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27-2139</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</si>
  <si>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</si>
  <si>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</si>
  <si>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</si>
  <si>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</si>
  <si>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</si>
  <si>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</si>
  <si>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250202002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</si>
  <si>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</si>
  <si>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</si>
  <si>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</si>
  <si>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</si>
  <si>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</si>
  <si>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</si>
  <si>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</si>
  <si>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</si>
  <si>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</si>
  <si>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</si>
  <si>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</si>
  <si>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</si>
  <si>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</si>
  <si>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</si>
  <si>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</si>
  <si>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</si>
  <si>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</si>
  <si>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 Владивосток, ул. Героев Варяга, д.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</si>
  <si>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</si>
  <si>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</si>
  <si>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</si>
  <si>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</si>
  <si>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</si>
  <si>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</si>
  <si>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</si>
  <si>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</si>
  <si>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</si>
  <si>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</si>
  <si>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</si>
  <si>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</si>
  <si>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</si>
  <si>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</si>
  <si>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</si>
  <si>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</si>
  <si>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</si>
  <si>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</si>
  <si>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</si>
  <si>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</si>
  <si>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</si>
  <si>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</si>
  <si>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</si>
  <si>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</si>
  <si>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</si>
  <si>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</si>
  <si>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</si>
  <si>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</si>
  <si>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78</t>
  </si>
  <si>
    <t>Хасанский муниципальный округ</t>
  </si>
  <si>
    <t>05548000</t>
  </si>
  <si>
    <t>Добавить МО</t>
  </si>
  <si>
    <t>2</t>
  </si>
  <si>
    <t>×</t>
  </si>
  <si>
    <t>ter_5</t>
  </si>
  <si>
    <t>89</t>
  </si>
  <si>
    <t>Шкотовский муниципальный округ</t>
  </si>
  <si>
    <t>05557000</t>
  </si>
  <si>
    <t>ter_51</t>
  </si>
  <si>
    <t>16</t>
  </si>
  <si>
    <t>Кавалеровский муниципальный округ</t>
  </si>
  <si>
    <t>05510000</t>
  </si>
  <si>
    <t>ter_511</t>
  </si>
  <si>
    <t>Дальнегорский городской округ</t>
  </si>
  <si>
    <t>05707000</t>
  </si>
  <si>
    <t>5</t>
  </si>
  <si>
    <t>ter_5111</t>
  </si>
  <si>
    <t>44</t>
  </si>
  <si>
    <t>Михайловский муниципальный район</t>
  </si>
  <si>
    <t>Новошахтинское городское поселение</t>
  </si>
  <si>
    <t>05620154</t>
  </si>
  <si>
    <t>ter_51111</t>
  </si>
  <si>
    <t>106</t>
  </si>
  <si>
    <t>городской округ ЗАТО Фокино</t>
  </si>
  <si>
    <t>05747000</t>
  </si>
  <si>
    <t>ter_511111</t>
  </si>
  <si>
    <t>Городской округ Спасск-Дальний</t>
  </si>
  <si>
    <t>05720000</t>
  </si>
  <si>
    <t>8</t>
  </si>
  <si>
    <t>ter_5111111</t>
  </si>
  <si>
    <t>80</t>
  </si>
  <si>
    <t>Черниговский муниципальный округ</t>
  </si>
  <si>
    <t>05553000</t>
  </si>
  <si>
    <t>9</t>
  </si>
  <si>
    <t>ter_51111111</t>
  </si>
  <si>
    <t>1</t>
  </si>
  <si>
    <t>Анучинский муниципальный округ</t>
  </si>
  <si>
    <t>05502000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</si>
  <si>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</si>
  <si>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</si>
  <si>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</si>
  <si>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</si>
  <si>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</si>
  <si>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</si>
  <si>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</si>
  <si>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</si>
  <si>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</si>
  <si>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</si>
  <si>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</si>
  <si>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</si>
  <si>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</si>
  <si>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</si>
  <si>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</si>
  <si>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</si>
  <si>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</si>
  <si>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</si>
  <si>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</si>
  <si>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</si>
  <si>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</si>
  <si>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</si>
  <si>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</si>
  <si>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</si>
  <si>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</si>
  <si>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</si>
  <si>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</si>
  <si>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</si>
  <si>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</si>
  <si>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</si>
  <si>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</si>
  <si>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</si>
  <si>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</si>
  <si>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</si>
  <si>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</si>
  <si>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</si>
  <si>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</si>
  <si>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</si>
  <si>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</si>
  <si>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</si>
  <si>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</si>
  <si>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</si>
  <si>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</si>
  <si>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</si>
  <si>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</si>
  <si>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</si>
  <si>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</si>
  <si>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</si>
  <si>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</si>
  <si>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</si>
  <si>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</si>
  <si>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</si>
  <si>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</si>
  <si>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</si>
  <si>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</si>
  <si>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</si>
  <si>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</si>
  <si>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</si>
  <si>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</si>
  <si>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</si>
  <si>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</si>
  <si>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</si>
  <si>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</si>
  <si>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</si>
  <si>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</si>
  <si>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</si>
  <si>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</si>
  <si>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</si>
  <si>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</si>
  <si>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</si>
  <si>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</si>
  <si>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</si>
  <si>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</si>
  <si>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</si>
  <si>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</si>
  <si>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</si>
  <si>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</si>
  <si>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</si>
  <si>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</si>
  <si>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</si>
  <si>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</si>
  <si>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</si>
  <si>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</si>
  <si>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</si>
  <si>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</si>
  <si>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</si>
  <si>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</si>
  <si>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</si>
  <si>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</si>
  <si>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</si>
  <si>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</si>
  <si>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</si>
  <si>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</si>
  <si>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</si>
  <si>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</si>
  <si>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</si>
  <si>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</si>
  <si>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</si>
  <si>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</si>
  <si>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</si>
  <si>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</si>
  <si>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</si>
  <si>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</si>
  <si>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</si>
  <si>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</si>
  <si>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</si>
  <si>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</si>
  <si>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</si>
  <si>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</si>
  <si>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</si>
  <si>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</si>
  <si>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</si>
  <si>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</si>
  <si>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</si>
  <si>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</si>
  <si>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</si>
  <si>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</si>
  <si>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</si>
  <si>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</si>
  <si>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</si>
  <si>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</si>
  <si>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</si>
  <si>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</si>
  <si>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</si>
  <si>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</si>
  <si>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</si>
  <si>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</si>
  <si>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</si>
  <si>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</si>
  <si>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</si>
  <si>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</si>
  <si>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</si>
  <si>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</si>
  <si>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</si>
  <si>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</si>
  <si>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</si>
  <si>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</si>
  <si>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</si>
  <si>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</si>
  <si>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</si>
  <si>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</si>
  <si>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</si>
  <si>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</si>
  <si>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</si>
  <si>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</si>
  <si>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</si>
  <si>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</si>
  <si>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</si>
  <si>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</si>
  <si>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</si>
  <si>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</si>
  <si>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</si>
  <si>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</si>
  <si>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</si>
  <si>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</si>
  <si>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с. Барабаш, с. Занадворовка</t>
  </si>
  <si>
    <t>"4189714"</t>
  </si>
  <si>
    <t>pIns_PT_VTAR_A_VOTV</t>
  </si>
  <si>
    <t>pt_ntar_17</t>
  </si>
  <si>
    <t>pt_ter_17</t>
  </si>
  <si>
    <t>pt_cs_17</t>
  </si>
  <si>
    <t>с. Безверхово, п. Перевозное</t>
  </si>
  <si>
    <t>pt_cs_30</t>
  </si>
  <si>
    <t>pt_ist_te_30</t>
  </si>
  <si>
    <t>пгт. Краскино</t>
  </si>
  <si>
    <t>pt_cs_31</t>
  </si>
  <si>
    <t>pt_ist_te_31</t>
  </si>
  <si>
    <t>пгт. Посьет</t>
  </si>
  <si>
    <t>pt_cs_32</t>
  </si>
  <si>
    <t>pt_ist_te_32</t>
  </si>
  <si>
    <t>пгт. Приморский</t>
  </si>
  <si>
    <t>pt_cs_33</t>
  </si>
  <si>
    <t>pt_ist_te_33</t>
  </si>
  <si>
    <t>Добавить централизованную систему для дифференциации</t>
  </si>
  <si>
    <t>с. Многоудобное</t>
  </si>
  <si>
    <t>pt_ter_30</t>
  </si>
  <si>
    <t>pt_cs_34</t>
  </si>
  <si>
    <t>pt_ist_te_34</t>
  </si>
  <si>
    <t>с. Романовка</t>
  </si>
  <si>
    <t>pt_cs_46</t>
  </si>
  <si>
    <t>pt_ist_te_46</t>
  </si>
  <si>
    <t>Кавалеровский МО</t>
  </si>
  <si>
    <t>pt_ter_31</t>
  </si>
  <si>
    <t>pt_cs_35</t>
  </si>
  <si>
    <t>pt_ist_te_35</t>
  </si>
  <si>
    <t>Дальнегорский ГО</t>
  </si>
  <si>
    <t>pt_ter_32</t>
  </si>
  <si>
    <t>pt_cs_36</t>
  </si>
  <si>
    <t>pt_ist_te_36</t>
  </si>
  <si>
    <t>Новошахтинское ГП</t>
  </si>
  <si>
    <t>pt_ter_33</t>
  </si>
  <si>
    <t>pt_cs_37</t>
  </si>
  <si>
    <t>pt_ist_te_37</t>
  </si>
  <si>
    <t xml:space="preserve">пгт. Путятин </t>
  </si>
  <si>
    <t>pt_ter_34</t>
  </si>
  <si>
    <t>pt_cs_38</t>
  </si>
  <si>
    <t>pt_ist_te_38</t>
  </si>
  <si>
    <t>ЗАТО Фокино</t>
  </si>
  <si>
    <t>pt_cs_39</t>
  </si>
  <si>
    <t>pt_ist_te_39</t>
  </si>
  <si>
    <t>ГО Спасск-Дальний</t>
  </si>
  <si>
    <t>pt_ter_35</t>
  </si>
  <si>
    <t>pt_cs_40</t>
  </si>
  <si>
    <t>pt_ist_te_40</t>
  </si>
  <si>
    <t>с. Реттиховка</t>
  </si>
  <si>
    <t>pt_ter_36</t>
  </si>
  <si>
    <t>pt_cs_41</t>
  </si>
  <si>
    <t>pt_ist_te_41</t>
  </si>
  <si>
    <t>с. Майское, с. Дмитриевка</t>
  </si>
  <si>
    <t>pt_cs_43</t>
  </si>
  <si>
    <t>pt_ist_te_43</t>
  </si>
  <si>
    <t>с. Черниговка</t>
  </si>
  <si>
    <t>pt_cs_44</t>
  </si>
  <si>
    <t>pt_ist_te_44</t>
  </si>
  <si>
    <t>с. Снегуровка</t>
  </si>
  <si>
    <t>pt_cs_45</t>
  </si>
  <si>
    <t>pt_ist_te_45</t>
  </si>
  <si>
    <t>с. Анучино</t>
  </si>
  <si>
    <t>pt_ter_37</t>
  </si>
  <si>
    <t>pt_cs_42</t>
  </si>
  <si>
    <t>pt_ist_te_42</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</si>
  <si>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</si>
  <si>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</si>
  <si>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</si>
  <si>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</si>
  <si>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</si>
  <si>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</si>
  <si>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</si>
  <si>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</si>
  <si>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</si>
  <si>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</si>
  <si>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</si>
  <si>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</si>
  <si>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</si>
  <si>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</si>
  <si>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</si>
  <si>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</si>
  <si>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</si>
  <si>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</si>
  <si>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</si>
  <si>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</si>
  <si>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</si>
  <si>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</si>
  <si>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</si>
  <si>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</si>
  <si>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</si>
  <si>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</si>
  <si>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</si>
  <si>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</si>
  <si>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</si>
  <si>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</si>
  <si>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</si>
  <si>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</si>
  <si>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</si>
  <si>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</si>
  <si>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</si>
  <si>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</si>
  <si>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</si>
  <si>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</si>
  <si>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</si>
  <si>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</si>
  <si>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</si>
  <si>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</si>
  <si>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</si>
  <si>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</si>
  <si>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</si>
  <si>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</si>
  <si>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</si>
  <si>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</si>
  <si>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</si>
  <si>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</si>
  <si>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</si>
  <si>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</si>
  <si>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</si>
  <si>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</si>
  <si>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</si>
  <si>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</si>
  <si>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</si>
  <si>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</si>
  <si>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</si>
  <si>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</si>
  <si>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</si>
  <si>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</si>
  <si>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</si>
  <si>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</si>
  <si>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</si>
  <si>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</si>
  <si>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</si>
  <si>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</si>
  <si>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</si>
  <si>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</si>
  <si>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</si>
  <si>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</si>
  <si>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</si>
  <si>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</si>
  <si>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</si>
  <si>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</si>
  <si>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</si>
  <si>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</si>
  <si>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</si>
  <si>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</si>
  <si>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</si>
  <si>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</si>
  <si>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</si>
  <si>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</si>
  <si>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</si>
  <si>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</si>
  <si>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</si>
  <si>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</si>
  <si>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</si>
  <si>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</si>
  <si>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</si>
  <si>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</si>
  <si>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</si>
  <si>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</si>
  <si>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</si>
  <si>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</si>
  <si>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</si>
  <si>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</si>
  <si>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</si>
  <si>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</si>
  <si>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</si>
  <si>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</si>
  <si>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</si>
  <si>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</si>
  <si>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</si>
  <si>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</si>
  <si>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</si>
  <si>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</si>
  <si>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</si>
  <si>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</si>
  <si>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</si>
  <si>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</si>
  <si>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</si>
  <si>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</si>
  <si>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</si>
  <si>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</si>
  <si>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</si>
  <si>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</si>
  <si>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</si>
  <si>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</si>
  <si>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</si>
  <si>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</si>
  <si>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</si>
  <si>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</si>
  <si>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</si>
  <si>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</si>
  <si>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</si>
  <si>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</si>
  <si>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</si>
  <si>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</si>
  <si>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</si>
  <si>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</si>
  <si>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</si>
  <si>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</si>
  <si>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</si>
  <si>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</si>
  <si>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</si>
  <si>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</si>
  <si>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</si>
  <si>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</si>
  <si>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</si>
  <si>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</si>
  <si>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</si>
  <si>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</si>
  <si>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</si>
  <si>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</si>
  <si>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</si>
  <si>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</si>
  <si>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</si>
  <si>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</si>
  <si>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</si>
  <si>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</si>
  <si>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</si>
  <si>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</si>
  <si>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</si>
  <si>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</si>
  <si>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</si>
  <si>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</si>
  <si>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</si>
  <si>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</si>
  <si>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</si>
  <si>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</si>
  <si>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</si>
  <si>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</si>
  <si>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</si>
  <si>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</si>
  <si>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</si>
  <si>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</si>
  <si>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</si>
  <si>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</si>
  <si>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</si>
  <si>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</si>
  <si>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</si>
  <si>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</si>
  <si>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</si>
  <si>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</si>
  <si>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</si>
  <si>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</si>
  <si>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</si>
  <si>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</si>
  <si>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</si>
  <si>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</si>
  <si>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</si>
  <si>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</si>
  <si>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</si>
  <si>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</si>
  <si>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</si>
  <si>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</si>
  <si>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</si>
  <si>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</si>
  <si>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</si>
  <si>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</si>
  <si>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</si>
  <si>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</si>
  <si>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</si>
  <si>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</si>
  <si>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</si>
  <si>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</si>
  <si>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</si>
  <si>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</si>
  <si>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</si>
  <si>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</si>
  <si>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</si>
  <si>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</si>
  <si>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</si>
  <si>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</si>
  <si>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</si>
  <si>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</si>
  <si>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</si>
  <si>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</si>
  <si>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</si>
  <si>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</si>
  <si>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</si>
  <si>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</si>
  <si>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</si>
  <si>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</si>
  <si>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</si>
  <si>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</si>
  <si>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</si>
  <si>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</si>
  <si>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</si>
  <si>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</si>
  <si>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</si>
  <si>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</si>
  <si>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</si>
  <si>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</si>
  <si>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</si>
  <si>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</si>
  <si>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</si>
  <si>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</si>
  <si>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</si>
  <si>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</si>
  <si>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</si>
  <si>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</si>
  <si>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</si>
  <si>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</si>
  <si>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</si>
  <si>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</si>
  <si>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</si>
  <si>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</si>
  <si>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</si>
  <si>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</si>
  <si>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</si>
  <si>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</si>
  <si>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</si>
  <si>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</si>
  <si>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</si>
  <si>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</si>
  <si>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</si>
  <si>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</si>
  <si>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</si>
  <si>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без дифференциации</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</si>
  <si>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</si>
  <si>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</si>
  <si>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</si>
  <si>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</si>
  <si>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</si>
  <si>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</si>
  <si>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</si>
  <si>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</si>
  <si>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</si>
  <si>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</si>
  <si>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</si>
  <si>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</si>
  <si>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</si>
  <si>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</si>
  <si>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</si>
  <si>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</si>
  <si>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</si>
  <si>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</si>
  <si>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</si>
  <si>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</si>
  <si>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</si>
  <si>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</si>
  <si>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</si>
  <si>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</si>
  <si>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</si>
  <si>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</si>
  <si>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</si>
  <si>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</si>
  <si>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</si>
  <si>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</si>
  <si>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</si>
  <si>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</si>
  <si>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</si>
  <si>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</si>
  <si>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</si>
  <si>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</si>
  <si>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</si>
  <si>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</si>
  <si>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</si>
  <si>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</si>
  <si>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</si>
  <si>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</si>
  <si>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</si>
  <si>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</si>
  <si>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</si>
  <si>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</si>
  <si>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</si>
  <si>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</si>
  <si>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</si>
  <si>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</si>
  <si>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</si>
  <si>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</si>
  <si>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</si>
  <si>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</si>
  <si>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</si>
  <si>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</si>
  <si>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</si>
  <si>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</si>
  <si>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</si>
  <si>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</si>
  <si>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</si>
  <si>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</si>
  <si>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</si>
  <si>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</si>
  <si>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</si>
  <si>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</si>
  <si>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</si>
  <si>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</si>
  <si>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</si>
  <si>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</si>
  <si>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</si>
  <si>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</si>
  <si>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</si>
  <si>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</si>
  <si>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</si>
  <si>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</si>
  <si>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</si>
  <si>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</si>
  <si>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</si>
  <si>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</si>
  <si>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</si>
  <si>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</si>
  <si>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</si>
  <si>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</si>
  <si>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</si>
  <si>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</si>
  <si>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</si>
  <si>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</si>
  <si>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</si>
  <si>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</si>
  <si>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</si>
  <si>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</si>
  <si>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</si>
  <si>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</si>
  <si>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</si>
  <si>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</si>
  <si>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</si>
  <si>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</si>
  <si>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</si>
  <si>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</si>
  <si>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</si>
  <si>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</si>
  <si>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</si>
  <si>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</si>
  <si>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</si>
  <si>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</si>
  <si>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</si>
  <si>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</si>
  <si>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</si>
  <si>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</si>
  <si>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</si>
  <si>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</si>
  <si>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</si>
  <si>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</si>
  <si>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</si>
  <si>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</si>
  <si>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</si>
  <si>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</si>
  <si>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</si>
  <si>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</si>
  <si>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</si>
  <si>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</si>
  <si>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</si>
  <si>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</si>
  <si>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</si>
  <si>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</si>
  <si>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</si>
  <si>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</si>
  <si>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</si>
  <si>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</si>
  <si>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</si>
  <si>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</si>
  <si>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</si>
  <si>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</si>
  <si>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</si>
  <si>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</si>
  <si>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</si>
  <si>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</si>
  <si>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</si>
  <si>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</si>
  <si>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</si>
  <si>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</si>
  <si>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</si>
  <si>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</si>
  <si>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</si>
  <si>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</si>
  <si>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</si>
  <si>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</si>
  <si>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</si>
  <si>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</si>
  <si>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</si>
  <si>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</si>
  <si>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</si>
  <si>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</si>
  <si>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</si>
  <si>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</si>
  <si>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</si>
  <si>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</si>
  <si>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</si>
  <si>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</si>
  <si>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</si>
  <si>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</si>
  <si>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</si>
  <si>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</si>
  <si>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</si>
  <si>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</si>
  <si>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</si>
  <si>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</si>
  <si>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</si>
  <si>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</si>
  <si>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</si>
  <si>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</si>
  <si>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</si>
  <si>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</si>
  <si>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</si>
  <si>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</si>
  <si>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</si>
  <si>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</si>
  <si>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</si>
  <si>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</si>
  <si>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</si>
  <si>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</si>
  <si>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</si>
  <si>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</si>
  <si>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</si>
  <si>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</si>
  <si>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</si>
  <si>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</si>
  <si>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</si>
  <si>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</si>
  <si>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</si>
  <si>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</si>
  <si>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</si>
  <si>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</si>
  <si>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</si>
  <si>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</si>
  <si>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</si>
  <si>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</si>
  <si>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</si>
  <si>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</si>
  <si>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</si>
  <si>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</si>
  <si>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</si>
  <si>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</si>
  <si>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</si>
  <si>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</si>
  <si>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</si>
  <si>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</si>
  <si>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</si>
  <si>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</si>
  <si>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</si>
  <si>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</si>
  <si>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</si>
  <si>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</si>
  <si>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</si>
  <si>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</si>
  <si>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</si>
  <si>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</si>
  <si>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</si>
  <si>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</si>
  <si>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</si>
  <si>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</si>
  <si>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</si>
  <si>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</si>
  <si>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</si>
  <si>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</si>
  <si>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</si>
  <si>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</si>
  <si>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</si>
  <si>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</si>
  <si>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</si>
  <si>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</si>
  <si>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</si>
  <si>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</si>
  <si>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</si>
  <si>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</si>
  <si>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</si>
  <si>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</si>
  <si>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</si>
  <si>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</si>
  <si>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</si>
  <si>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</si>
  <si>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</si>
  <si>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</si>
  <si>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</si>
  <si>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</si>
  <si>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</si>
  <si>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</si>
  <si>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</si>
  <si>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</si>
  <si>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</si>
  <si>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</si>
  <si>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</si>
  <si>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</si>
  <si>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</si>
  <si>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</si>
  <si>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</si>
  <si>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</si>
  <si>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</si>
  <si>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</si>
  <si>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</si>
  <si>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</si>
  <si>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</si>
  <si>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</si>
  <si>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</si>
  <si>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</si>
  <si>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</si>
  <si>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</si>
  <si>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</si>
  <si>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</si>
  <si>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</si>
  <si>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</si>
  <si>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</si>
  <si>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</si>
  <si>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</si>
  <si>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</si>
  <si>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</si>
  <si>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</si>
  <si>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</si>
  <si>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</si>
  <si>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</si>
  <si>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</si>
  <si>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</si>
  <si>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</si>
  <si>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</si>
  <si>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</si>
  <si>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</si>
  <si>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</si>
  <si>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</si>
  <si>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</si>
  <si>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</si>
  <si>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</si>
  <si>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</si>
  <si>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</si>
  <si>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</si>
  <si>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</si>
  <si>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</si>
  <si>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</si>
  <si>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</si>
  <si>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</si>
  <si>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</si>
  <si>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</si>
  <si>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</si>
  <si>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</si>
  <si>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</si>
  <si>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</si>
  <si>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</si>
  <si>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</si>
  <si>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</si>
  <si>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</si>
  <si>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</si>
  <si>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</si>
  <si>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</si>
  <si>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</si>
  <si>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</si>
  <si>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</si>
  <si>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</si>
  <si>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</si>
  <si>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</si>
  <si>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</si>
  <si>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</si>
  <si>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</si>
  <si>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</si>
  <si>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</si>
  <si>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</si>
  <si>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</si>
  <si>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</si>
  <si>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</si>
  <si>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</si>
  <si>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</si>
  <si>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</si>
  <si>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</si>
  <si>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</si>
  <si>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</si>
  <si>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</si>
  <si>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</si>
  <si>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</si>
  <si>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</si>
  <si>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</si>
  <si>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</si>
  <si>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</si>
  <si>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</si>
  <si>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</si>
  <si>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</si>
  <si>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</si>
  <si>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</si>
  <si>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</si>
  <si>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</si>
  <si>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</si>
  <si>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</si>
  <si>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</si>
  <si>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</si>
  <si>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</si>
  <si>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</si>
  <si>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</si>
  <si>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</si>
  <si>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</si>
  <si>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</si>
  <si>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</si>
  <si>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</si>
  <si>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</si>
  <si>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</si>
  <si>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</si>
  <si>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</si>
  <si>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</si>
  <si>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</si>
  <si>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</si>
  <si>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</si>
  <si>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</si>
  <si>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</si>
  <si>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</si>
  <si>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</si>
  <si>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</si>
  <si>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</si>
  <si>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</si>
  <si>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</si>
  <si>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</si>
  <si>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</si>
  <si>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</si>
  <si>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</si>
  <si>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</si>
  <si>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</si>
  <si>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</si>
  <si>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</si>
  <si>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</si>
  <si>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</si>
  <si>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</si>
  <si>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</si>
  <si>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</si>
  <si>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</si>
  <si>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</si>
  <si>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</si>
  <si>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</si>
  <si>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</si>
  <si>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</si>
  <si>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</si>
  <si>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</si>
  <si>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</si>
  <si>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</si>
  <si>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</si>
  <si>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</si>
  <si>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</si>
  <si>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</si>
  <si>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</si>
  <si>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</si>
  <si>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</si>
  <si>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</si>
  <si>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</si>
  <si>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</si>
  <si>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</si>
  <si>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</si>
  <si>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</si>
  <si>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</si>
  <si>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</si>
  <si>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</si>
  <si>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</si>
  <si>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</si>
  <si>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</si>
  <si>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</si>
  <si>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</si>
  <si>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</si>
  <si>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</si>
  <si>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</si>
  <si>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</si>
  <si>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</si>
  <si>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</si>
  <si>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</si>
  <si>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</si>
  <si>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</si>
  <si>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</si>
  <si>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</si>
  <si>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</si>
  <si>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</si>
  <si>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</si>
  <si>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</si>
  <si>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</si>
  <si>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</si>
  <si>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</si>
  <si>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</si>
  <si>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</si>
  <si>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</si>
  <si>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</si>
  <si>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</si>
  <si>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</si>
  <si>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</si>
  <si>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</si>
  <si>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</si>
  <si>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</si>
  <si>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</si>
  <si>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</si>
  <si>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</si>
  <si>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</si>
  <si>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</si>
  <si>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</si>
  <si>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</si>
  <si>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</si>
  <si>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</si>
  <si>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</si>
  <si>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</si>
  <si>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</si>
  <si>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</si>
  <si>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</si>
  <si>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</si>
  <si>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</si>
  <si>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</si>
  <si>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</si>
  <si>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</si>
  <si>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</si>
  <si>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</si>
  <si>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</si>
  <si>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</si>
  <si>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</si>
  <si>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</si>
  <si>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</si>
  <si>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</si>
  <si>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</si>
  <si>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</si>
  <si>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</si>
  <si>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</si>
  <si>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</si>
  <si>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</si>
  <si>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</si>
  <si>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</si>
  <si>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</si>
  <si>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</si>
  <si>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</si>
  <si>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</si>
  <si>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</si>
  <si>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</si>
  <si>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</si>
  <si>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</si>
  <si>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</si>
  <si>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</si>
  <si>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</si>
  <si>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</si>
  <si>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</si>
  <si>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</si>
  <si>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</si>
  <si>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</si>
  <si>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</si>
  <si>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</si>
  <si>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</si>
  <si>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</si>
  <si>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</si>
  <si>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</si>
  <si>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</si>
  <si>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</si>
  <si>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</si>
  <si>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</si>
  <si>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</si>
  <si>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</si>
  <si>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</si>
  <si>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</si>
  <si>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</si>
  <si>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</si>
  <si>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</si>
  <si>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</si>
  <si>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</si>
  <si>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</si>
  <si>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</si>
  <si>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</si>
  <si>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</si>
  <si>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</si>
  <si>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</si>
  <si>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</si>
  <si>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</si>
  <si>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</si>
  <si>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</si>
  <si>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</si>
  <si>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</si>
  <si>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</si>
  <si>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</si>
  <si>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</si>
  <si>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</si>
  <si>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</si>
  <si>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</si>
  <si>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</si>
  <si>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</si>
  <si>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</si>
  <si>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</si>
  <si>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</si>
  <si>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</si>
  <si>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</si>
  <si>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</si>
  <si>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</si>
  <si>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</si>
  <si>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</si>
  <si>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</si>
  <si>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</si>
  <si>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</si>
  <si>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</si>
  <si>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</si>
  <si>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</si>
  <si>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</si>
  <si>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</si>
  <si>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</si>
  <si>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</si>
  <si>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</si>
  <si>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</si>
  <si>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</si>
  <si>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</si>
  <si>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</si>
  <si>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</si>
  <si>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</si>
  <si>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</si>
  <si>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</si>
  <si>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</si>
  <si>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</si>
  <si>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</si>
  <si>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</si>
  <si>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</si>
  <si>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</si>
  <si>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</si>
  <si>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</si>
  <si>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</si>
  <si>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</si>
  <si>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</si>
  <si>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</si>
  <si>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</si>
  <si>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</si>
  <si>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</si>
  <si>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</si>
  <si>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</si>
  <si>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</si>
  <si>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</si>
  <si>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</si>
  <si>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</si>
  <si>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</si>
  <si>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</si>
  <si>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</si>
  <si>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</si>
  <si>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</si>
  <si>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</si>
  <si>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</si>
  <si>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</si>
  <si>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</si>
  <si>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</si>
  <si>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</si>
  <si>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</si>
  <si>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</si>
  <si>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</si>
  <si>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</si>
  <si>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</si>
  <si>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</si>
  <si>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</si>
  <si>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</si>
  <si>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</si>
  <si>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</si>
  <si>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</si>
  <si>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</si>
  <si>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</si>
  <si>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</si>
  <si>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</si>
  <si>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</si>
  <si>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</si>
  <si>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</si>
  <si>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</si>
  <si>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</si>
  <si>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</si>
  <si>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</si>
  <si>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</si>
  <si>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</si>
  <si>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</si>
  <si>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</si>
  <si>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</si>
  <si>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</si>
  <si>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</si>
  <si>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</si>
  <si>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</si>
  <si>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</si>
  <si>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https://portal.eias.ru/Portal/DownloadPage.aspx?type=12&amp;guid=1d4136a2-5f4c-4089-8ece-33d332835526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</si>
  <si>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</si>
  <si>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</si>
  <si>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</si>
  <si>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КГУП «Примтеплоэнерго» в соответствии с Федеральным законом от 18.07.2011 № 223-ФЗ (ред. от 31.07.2020) "О закупках товаров, работ, услуг отдельными видами юридических лиц" (с изм. и доп., вступ. в силу с 31.08.2020), утв. Приказом генерального директора КГУП «Примтеплоэнерго» от 05.04.2021 №132 Федеральный закон от 05.04.2013 № 44-ФЗ (ред. от 31.07.2020) "О контрактной системе в сфере закупок товаров, работ, услуг для обеспечения государственных и муниципальных нужд"</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</si>
  <si>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</si>
  <si>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</si>
  <si>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</si>
  <si>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www.zakupki.gov.ru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</si>
  <si>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</si>
  <si>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</si>
  <si>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</si>
  <si>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</si>
  <si>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</si>
  <si>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</si>
  <si>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</si>
  <si>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</si>
  <si>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</si>
  <si>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</si>
  <si>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</si>
  <si>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</si>
  <si>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</si>
  <si>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</si>
  <si>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</si>
  <si>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</si>
  <si>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</si>
  <si>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</si>
  <si>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</si>
  <si>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</si>
  <si>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</si>
  <si>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</si>
  <si>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</si>
  <si>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</si>
  <si>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</si>
  <si>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</si>
  <si>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</si>
  <si>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</si>
  <si>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</si>
  <si>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</si>
  <si>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</si>
  <si>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</si>
  <si>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</si>
  <si>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</si>
  <si>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</si>
  <si>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</si>
  <si>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</si>
  <si>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</si>
  <si>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</si>
  <si>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</si>
  <si>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</si>
  <si>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</si>
  <si>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</si>
  <si>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</si>
  <si>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</si>
  <si>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</si>
  <si>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</si>
  <si>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</si>
  <si>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</si>
  <si>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</si>
  <si>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</si>
  <si>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</si>
  <si>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</si>
  <si>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</si>
  <si>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</si>
  <si>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</si>
  <si>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</si>
  <si>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</si>
  <si>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</si>
  <si>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</si>
  <si>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</si>
  <si>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</si>
  <si>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</si>
  <si>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</si>
  <si>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</si>
  <si>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</si>
  <si>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</si>
  <si>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</si>
  <si>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</si>
  <si>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</si>
  <si>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</si>
  <si>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</si>
  <si>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</si>
  <si>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</si>
  <si>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</si>
  <si>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</si>
  <si>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</si>
  <si>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</si>
  <si>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</si>
  <si>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</si>
  <si>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</si>
  <si>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</si>
  <si>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</si>
  <si>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</si>
  <si>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</si>
  <si>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</si>
  <si>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</si>
  <si>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</si>
  <si>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</si>
  <si>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</si>
  <si>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</si>
  <si>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</si>
  <si>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</si>
  <si>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</si>
  <si>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</si>
  <si>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</si>
  <si>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</si>
  <si>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</si>
  <si>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</si>
  <si>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</si>
  <si>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</si>
  <si>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</si>
  <si>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</si>
  <si>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</si>
  <si>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</si>
  <si>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</si>
  <si>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</si>
  <si>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</si>
  <si>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</si>
  <si>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</si>
  <si>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</si>
  <si>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</si>
  <si>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</si>
  <si>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</si>
  <si>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</si>
  <si>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</si>
  <si>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</si>
  <si>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</si>
  <si>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</si>
  <si>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</si>
  <si>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</si>
  <si>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</si>
  <si>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</si>
  <si>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</si>
  <si>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</si>
  <si>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</si>
  <si>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</si>
  <si>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</si>
  <si>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</si>
  <si>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</si>
  <si>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</si>
  <si>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</si>
  <si>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</si>
  <si>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</si>
  <si>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</si>
  <si>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</si>
  <si>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</si>
  <si>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</si>
  <si>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</si>
  <si>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</si>
  <si>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</si>
  <si>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</si>
  <si>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</si>
  <si>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</si>
  <si>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</si>
  <si>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</si>
  <si>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</si>
  <si>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</si>
  <si>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</si>
  <si>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</si>
  <si>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</si>
  <si>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</si>
  <si>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</si>
  <si>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</si>
  <si>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</si>
  <si>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</si>
  <si>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</si>
  <si>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</si>
  <si>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</si>
  <si>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</si>
  <si>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</si>
  <si>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</si>
  <si>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</si>
  <si>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</si>
  <si>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</si>
  <si>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</si>
  <si>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</si>
  <si>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</si>
  <si>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</si>
  <si>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</si>
  <si>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</si>
  <si>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</si>
  <si>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</si>
  <si>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</si>
  <si>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</si>
  <si>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</si>
  <si>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</si>
  <si>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</si>
  <si>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</si>
  <si>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</si>
  <si>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</si>
  <si>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</si>
  <si>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</si>
  <si>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</si>
  <si>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</si>
  <si>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</si>
  <si>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</si>
  <si>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</si>
  <si>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</si>
  <si>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</si>
  <si>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</si>
  <si>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</si>
  <si>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</si>
  <si>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</si>
  <si>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</si>
  <si>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</si>
  <si>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</si>
  <si>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</si>
  <si>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</si>
  <si>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</si>
  <si>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</si>
  <si>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</si>
  <si>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</si>
  <si>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</si>
  <si>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</si>
  <si>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</si>
  <si>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</si>
  <si>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</si>
  <si>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</si>
  <si>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</si>
  <si>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</si>
  <si>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</si>
  <si>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</si>
  <si>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</si>
  <si>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</si>
  <si>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</si>
  <si>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</si>
  <si>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</si>
  <si>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</si>
  <si>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</si>
  <si>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</si>
  <si>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</si>
  <si>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</si>
  <si>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</si>
  <si>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</si>
  <si>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</si>
  <si>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</si>
  <si>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</si>
  <si>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</si>
  <si>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</si>
  <si>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</si>
  <si>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</si>
  <si>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</si>
  <si>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</si>
  <si>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</si>
  <si>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</si>
  <si>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</si>
  <si>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</si>
  <si>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</si>
  <si>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</si>
  <si>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</si>
  <si>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</si>
  <si>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</si>
  <si>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</si>
  <si>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</si>
  <si>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</si>
  <si>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</si>
  <si>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</si>
  <si>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</si>
  <si>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</si>
  <si>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</si>
  <si>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</si>
  <si>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</si>
  <si>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</si>
  <si>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</si>
  <si>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</si>
  <si>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</si>
  <si>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</si>
  <si>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</si>
  <si>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</si>
  <si>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</si>
  <si>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</si>
  <si>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</si>
  <si>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</si>
  <si>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</si>
  <si>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</si>
  <si>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</si>
  <si>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</si>
  <si>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</si>
  <si>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</si>
  <si>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</si>
  <si>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</si>
  <si>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</si>
  <si>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</si>
  <si>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</si>
  <si>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</si>
  <si>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</si>
  <si>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</si>
  <si>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</si>
  <si>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</si>
  <si>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</si>
  <si>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</si>
  <si>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</si>
  <si>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</si>
  <si>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</si>
  <si>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</si>
  <si>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</si>
  <si>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</si>
  <si>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</si>
  <si>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</si>
  <si>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</si>
  <si>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</si>
  <si>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</si>
  <si>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</si>
  <si>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</si>
  <si>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</si>
  <si>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</si>
  <si>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</si>
  <si>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</si>
  <si>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</si>
  <si>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</si>
  <si>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</si>
  <si>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</si>
  <si>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</si>
  <si>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</si>
  <si>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</si>
  <si>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</si>
  <si>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</si>
  <si>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</si>
  <si>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</si>
  <si>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</si>
  <si>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</si>
  <si>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</si>
  <si>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</si>
  <si>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</si>
  <si>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</si>
  <si>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</si>
  <si>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</si>
  <si>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</si>
  <si>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</si>
  <si>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</si>
  <si>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</si>
  <si>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</si>
  <si>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</si>
  <si>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</si>
  <si>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</si>
  <si>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</si>
  <si>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</si>
  <si>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</si>
  <si>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</si>
  <si>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</si>
  <si>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</si>
  <si>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</si>
  <si>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</si>
  <si>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</si>
  <si>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</si>
  <si>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</si>
  <si>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</si>
  <si>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</si>
  <si>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</si>
  <si>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</si>
  <si>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</si>
  <si>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</si>
  <si>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</si>
  <si>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</si>
  <si>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</si>
  <si>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</si>
  <si>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</si>
  <si>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</si>
  <si>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</si>
  <si>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</si>
  <si>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</si>
  <si>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</si>
  <si>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</si>
  <si>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</si>
  <si>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</si>
  <si>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</si>
  <si>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</si>
  <si>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</si>
  <si>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</si>
  <si>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</si>
  <si>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</si>
  <si>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</si>
  <si>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</si>
  <si>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</si>
  <si>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</si>
  <si>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</si>
  <si>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</si>
  <si>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</si>
  <si>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</si>
  <si>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</si>
  <si>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</si>
  <si>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</si>
  <si>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</si>
  <si>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</si>
  <si>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</si>
  <si>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</si>
  <si>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</si>
  <si>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</si>
  <si>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</si>
  <si>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</si>
  <si>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</si>
  <si>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</si>
  <si>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</si>
  <si>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</si>
  <si>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</si>
  <si>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</si>
  <si>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</si>
  <si>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</si>
  <si>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</si>
  <si>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</si>
  <si>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</si>
  <si>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</si>
  <si>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</si>
  <si>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</si>
  <si>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</si>
  <si>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</si>
  <si>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</si>
  <si>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</si>
  <si>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</si>
  <si>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</si>
  <si>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</si>
  <si>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</si>
  <si>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</si>
  <si>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</si>
  <si>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</si>
  <si>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</si>
  <si>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</si>
  <si>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</si>
  <si>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</si>
  <si>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</si>
  <si>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</si>
  <si>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</si>
  <si>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</si>
  <si>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</si>
  <si>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</si>
  <si>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</si>
  <si>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</si>
  <si>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</si>
  <si>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</si>
  <si>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</si>
  <si>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</si>
  <si>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</si>
  <si>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</si>
  <si>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</si>
  <si>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</si>
  <si>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</si>
  <si>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</si>
  <si>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</si>
  <si>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</si>
  <si>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</si>
  <si>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</si>
  <si>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</si>
  <si>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</si>
  <si>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</si>
  <si>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</si>
  <si>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</si>
  <si>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</si>
  <si>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</si>
  <si>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</si>
  <si>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</si>
  <si>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</si>
  <si>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</si>
  <si>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</si>
  <si>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</si>
  <si>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</si>
  <si>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</si>
  <si>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</si>
  <si>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</si>
  <si>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</si>
  <si>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</si>
  <si>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</si>
  <si>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</si>
  <si>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</si>
  <si>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</si>
  <si>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</si>
  <si>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</si>
  <si>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</si>
  <si>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</si>
  <si>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</si>
  <si>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</si>
  <si>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</si>
  <si>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</si>
  <si>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</si>
  <si>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</si>
  <si>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</si>
  <si>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</si>
  <si>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</si>
  <si>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</si>
  <si>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</si>
  <si>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</si>
  <si>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</si>
  <si>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</si>
  <si>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</si>
  <si>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</si>
  <si>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</si>
  <si>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</si>
  <si>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</si>
  <si>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</si>
  <si>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</si>
  <si>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</si>
  <si>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</si>
  <si>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</si>
  <si>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</si>
  <si>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</si>
  <si>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</si>
  <si>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</si>
  <si>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</si>
  <si>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</si>
  <si>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</si>
  <si>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</si>
  <si>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</si>
  <si>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</si>
  <si>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</si>
  <si>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</si>
  <si>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</si>
  <si>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</si>
  <si>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</si>
  <si>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</si>
  <si>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</si>
  <si>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</si>
  <si>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</si>
  <si>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</si>
  <si>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</si>
  <si>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</si>
  <si>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</si>
  <si>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</si>
  <si>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</si>
  <si>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</si>
  <si>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</si>
  <si>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</si>
  <si>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</si>
  <si>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</si>
  <si>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</si>
  <si>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</si>
  <si>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</si>
  <si>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</si>
  <si>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</si>
  <si>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</si>
  <si>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</si>
  <si>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</si>
  <si>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</si>
  <si>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</si>
  <si>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</si>
  <si>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</si>
  <si>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</si>
  <si>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</si>
  <si>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</si>
  <si>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</si>
  <si>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</si>
  <si>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</si>
  <si>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</si>
  <si>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</si>
  <si>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</si>
  <si>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</si>
  <si>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</si>
  <si>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</si>
  <si>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</si>
  <si>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</si>
  <si>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</si>
  <si>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</si>
  <si>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</si>
  <si>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</si>
  <si>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</si>
  <si>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</si>
  <si>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</si>
  <si>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</si>
  <si>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</si>
  <si>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</si>
  <si>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</si>
  <si>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</si>
  <si>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</si>
  <si>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</si>
  <si>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</si>
  <si>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</si>
  <si>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</si>
  <si>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</si>
  <si>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</si>
  <si>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</si>
  <si>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</si>
  <si>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</si>
  <si>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</si>
  <si>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</si>
  <si>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</si>
  <si>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</si>
  <si>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</si>
  <si>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</si>
  <si>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</si>
  <si>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</si>
  <si>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</si>
  <si>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</si>
  <si>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</si>
  <si>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</si>
  <si>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</si>
  <si>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</si>
  <si>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</si>
  <si>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</si>
  <si>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</si>
  <si>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</si>
  <si>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</si>
  <si>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</si>
  <si>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</si>
  <si>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</si>
  <si>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</si>
  <si>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</si>
  <si>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</si>
  <si>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</si>
  <si>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</si>
  <si>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</si>
  <si>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</si>
  <si>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</si>
  <si>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</si>
  <si>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</si>
  <si>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</si>
  <si>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</si>
  <si>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</si>
  <si>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</si>
  <si>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</si>
  <si>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</si>
  <si>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</si>
  <si>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</si>
  <si>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</si>
  <si>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</si>
  <si>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</si>
  <si>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</si>
  <si>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</si>
  <si>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</si>
  <si>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</si>
  <si>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</si>
  <si>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</si>
  <si>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</si>
  <si>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</si>
  <si>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</si>
  <si>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</si>
  <si>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</si>
  <si>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</si>
  <si>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</si>
  <si>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</si>
  <si>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</si>
  <si>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</si>
  <si>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</si>
  <si>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</si>
  <si>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</si>
  <si>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</si>
  <si>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</si>
  <si>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</si>
  <si>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</si>
  <si>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</si>
  <si>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</si>
  <si>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</si>
  <si>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</si>
  <si>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</si>
  <si>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</si>
  <si>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</si>
  <si>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</si>
  <si>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</si>
  <si>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</si>
  <si>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</si>
  <si>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</si>
  <si>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</si>
  <si>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</si>
  <si>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</si>
  <si>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</si>
  <si>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</si>
  <si>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</si>
  <si>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</si>
  <si>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</si>
  <si>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</si>
  <si>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</si>
  <si>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</si>
  <si>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</si>
  <si>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</si>
  <si>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</si>
  <si>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</si>
  <si>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</si>
  <si>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</si>
  <si>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</si>
  <si>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</si>
  <si>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</si>
  <si>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</si>
  <si>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</si>
  <si>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</si>
  <si>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</si>
  <si>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</si>
  <si>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</si>
  <si>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</si>
  <si>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</si>
  <si>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</si>
  <si>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</si>
  <si>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</si>
  <si>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</si>
  <si>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</si>
  <si>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</si>
  <si>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</si>
  <si>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</si>
  <si>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</si>
  <si>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</si>
  <si>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</si>
  <si>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</si>
  <si>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</si>
  <si>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</si>
  <si>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</si>
  <si>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</si>
  <si>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</si>
  <si>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</si>
  <si>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</si>
  <si>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</si>
  <si>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</si>
  <si>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</si>
  <si>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</si>
  <si>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</si>
  <si>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</si>
  <si>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</si>
  <si>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</si>
  <si>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</si>
  <si>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</si>
  <si>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</si>
  <si>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</si>
  <si>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</si>
  <si>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</si>
  <si>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</si>
  <si>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</si>
  <si>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</si>
  <si>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</si>
  <si>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</si>
  <si>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</si>
  <si>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</si>
  <si>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</si>
  <si>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</si>
  <si>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</si>
  <si>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</si>
  <si>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</si>
  <si>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</si>
  <si>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</si>
  <si>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</si>
  <si>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</si>
  <si>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</si>
  <si>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</si>
  <si>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</si>
  <si>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</si>
  <si>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</si>
  <si>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</si>
  <si>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</si>
  <si>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</si>
  <si>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</si>
  <si>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</si>
  <si>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</si>
  <si>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</si>
  <si>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</si>
  <si>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</si>
  <si>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</si>
  <si>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</si>
  <si>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</si>
  <si>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</si>
  <si>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</si>
  <si>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</si>
  <si>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</si>
  <si>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</si>
  <si>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</si>
  <si>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</si>
  <si>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</si>
  <si>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</si>
  <si>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Предложение об изменении тарифов на водоотведение на 2025-2028 на территории Приморского края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</si>
  <si>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</si>
  <si>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</si>
  <si>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</si>
  <si>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</si>
  <si>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</si>
  <si>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</si>
  <si>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</si>
  <si>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</si>
  <si>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</si>
  <si>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</si>
  <si>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</si>
  <si>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</si>
  <si>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</si>
  <si>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</si>
  <si>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</si>
  <si>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</si>
  <si>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</si>
  <si>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</si>
  <si>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</si>
  <si>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</si>
  <si>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</si>
  <si>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</si>
  <si>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</si>
  <si>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</si>
  <si>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</si>
  <si>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</si>
  <si>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</si>
  <si>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</si>
  <si>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</si>
  <si>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</si>
  <si>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</si>
  <si>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</si>
  <si>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</si>
  <si>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</si>
  <si>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</si>
  <si>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</si>
  <si>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</si>
  <si>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</si>
  <si>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</si>
  <si>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</si>
  <si>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</si>
  <si>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</si>
  <si>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</si>
  <si>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</si>
  <si>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</si>
  <si>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</si>
  <si>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</si>
  <si>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</si>
  <si>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</si>
  <si>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</si>
  <si>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</si>
  <si>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</si>
  <si>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</si>
  <si>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</si>
  <si>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</si>
  <si>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</si>
  <si>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</si>
  <si>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</si>
  <si>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</si>
  <si>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</si>
  <si>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</si>
  <si>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</si>
  <si>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</si>
  <si>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</si>
  <si>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</si>
  <si>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</si>
  <si>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</si>
  <si>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</si>
  <si>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</si>
  <si>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</si>
  <si>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</si>
  <si>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</si>
  <si>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</si>
  <si>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</si>
  <si>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</si>
  <si>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</si>
  <si>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</si>
  <si>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</si>
  <si>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</si>
  <si>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</si>
  <si>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</si>
  <si>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</si>
  <si>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</si>
  <si>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</si>
  <si>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</si>
  <si>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</si>
  <si>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</si>
  <si>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</si>
  <si>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</si>
  <si>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</si>
  <si>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</si>
  <si>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</si>
  <si>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</si>
  <si>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</si>
  <si>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</si>
  <si>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</si>
  <si>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</si>
  <si>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</si>
  <si>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</si>
  <si>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</si>
  <si>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</si>
  <si>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</si>
  <si>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</si>
  <si>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</si>
  <si>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</si>
  <si>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</si>
  <si>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</si>
  <si>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</si>
  <si>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</si>
  <si>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</si>
  <si>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</si>
  <si>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</si>
  <si>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</si>
  <si>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</si>
  <si>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</si>
  <si>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</si>
  <si>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</si>
  <si>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</si>
  <si>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</si>
  <si>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</si>
  <si>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</si>
  <si>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</si>
  <si>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</si>
  <si>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</si>
  <si>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</si>
  <si>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</si>
  <si>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</si>
  <si>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</si>
  <si>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</si>
  <si>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</si>
  <si>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</si>
  <si>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</si>
  <si>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</si>
  <si>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</si>
  <si>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</si>
  <si>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</si>
  <si>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</si>
  <si>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</si>
  <si>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</si>
  <si>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</si>
  <si>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</si>
  <si>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</si>
  <si>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</si>
  <si>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</si>
  <si>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</si>
  <si>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</si>
  <si>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</si>
  <si>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</si>
  <si>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</si>
  <si>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</si>
  <si>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</si>
  <si>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</si>
  <si>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</si>
  <si>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</si>
  <si>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</si>
  <si>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</si>
  <si>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</si>
  <si>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</si>
  <si>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</si>
  <si>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</si>
  <si>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</si>
  <si>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</si>
  <si>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</si>
  <si>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</si>
  <si>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</si>
  <si>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</si>
  <si>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</si>
  <si>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</si>
  <si>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</si>
  <si>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</si>
  <si>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</si>
  <si>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</si>
  <si>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</si>
  <si>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</si>
  <si>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</si>
  <si>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</si>
  <si>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</si>
  <si>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</si>
  <si>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</si>
  <si>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</si>
  <si>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</si>
  <si>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</si>
  <si>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</si>
  <si>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</si>
  <si>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</si>
  <si>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</si>
  <si>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</si>
  <si>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</si>
  <si>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</si>
  <si>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</si>
  <si>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</si>
  <si>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</si>
  <si>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</si>
  <si>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</si>
  <si>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</si>
  <si>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</si>
  <si>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</si>
  <si>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</si>
  <si>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</si>
  <si>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</si>
  <si>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</si>
  <si>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</si>
  <si>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</si>
  <si>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</si>
  <si>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</si>
  <si>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</si>
  <si>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</si>
  <si>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</si>
  <si>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</si>
  <si>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</si>
  <si>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</si>
  <si>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</si>
  <si>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</si>
  <si>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</si>
  <si>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</si>
  <si>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</si>
  <si>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</si>
  <si>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</si>
  <si>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</si>
  <si>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</si>
  <si>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</si>
  <si>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</si>
  <si>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</si>
  <si>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</si>
  <si>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</si>
  <si>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</si>
  <si>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</si>
  <si>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</si>
  <si>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</si>
  <si>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</si>
  <si>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</si>
  <si>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</si>
  <si>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</si>
  <si>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</si>
  <si>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</si>
  <si>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</si>
  <si>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</si>
  <si>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</si>
  <si>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</si>
  <si>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</si>
  <si>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</si>
  <si>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</si>
  <si>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</si>
  <si>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</si>
  <si>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</si>
  <si>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</si>
  <si>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</si>
  <si>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</si>
  <si>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</si>
  <si>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</si>
  <si>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</si>
  <si>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</si>
  <si>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</si>
  <si>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</si>
  <si>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</si>
  <si>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</si>
  <si>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</si>
  <si>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</si>
  <si>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</si>
  <si>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</si>
  <si>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</si>
  <si>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</si>
  <si>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</si>
  <si>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</si>
  <si>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</si>
  <si>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</si>
  <si>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</si>
  <si>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</si>
  <si>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</si>
  <si>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</si>
  <si>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</si>
  <si>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</si>
  <si>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</si>
  <si>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</si>
  <si>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</si>
  <si>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</si>
  <si>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</si>
  <si>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</si>
  <si>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</si>
  <si>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</si>
  <si>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</si>
  <si>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</si>
  <si>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</si>
  <si>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</si>
  <si>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</si>
  <si>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</si>
  <si>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</si>
  <si>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</si>
  <si>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</si>
  <si>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</si>
  <si>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</si>
  <si>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</si>
  <si>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</si>
  <si>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</si>
  <si>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</si>
  <si>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</si>
  <si>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</si>
  <si>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</si>
  <si>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</si>
  <si>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</si>
  <si>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</si>
  <si>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</si>
  <si>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</si>
  <si>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</si>
  <si>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</si>
  <si>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</si>
  <si>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</si>
  <si>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</si>
  <si>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</si>
  <si>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</si>
  <si>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</si>
  <si>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</si>
  <si>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</si>
  <si>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</si>
  <si>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</si>
  <si>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</si>
  <si>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</si>
  <si>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</si>
  <si>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</si>
  <si>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</si>
  <si>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</si>
  <si>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</si>
  <si>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</si>
  <si>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</si>
  <si>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</si>
  <si>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</si>
  <si>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</si>
  <si>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</si>
  <si>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</si>
  <si>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</si>
  <si>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</si>
  <si>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</si>
  <si>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</si>
  <si>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</si>
  <si>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</si>
  <si>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</si>
  <si>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</si>
  <si>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</si>
  <si>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</si>
  <si>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</si>
  <si>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</si>
  <si>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</si>
  <si>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</si>
  <si>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</si>
  <si>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</si>
  <si>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</si>
  <si>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</si>
  <si>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</si>
  <si>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</si>
  <si>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</si>
  <si>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</si>
  <si>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</si>
  <si>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</si>
  <si>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</si>
  <si>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</si>
  <si>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</si>
  <si>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</si>
  <si>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</si>
  <si>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</si>
  <si>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</si>
  <si>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</si>
  <si>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</si>
  <si>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</si>
  <si>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</si>
  <si>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</si>
  <si>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</si>
  <si>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</si>
  <si>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</si>
  <si>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</si>
  <si>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</si>
  <si>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</si>
  <si>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</si>
  <si>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</si>
  <si>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</si>
  <si>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</si>
  <si>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</si>
  <si>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</si>
  <si>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</si>
  <si>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</si>
  <si>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</si>
  <si>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</si>
  <si>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</si>
  <si>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</si>
  <si>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</si>
  <si>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</si>
  <si>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</si>
  <si>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</si>
  <si>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</si>
  <si>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</si>
  <si>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</si>
  <si>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</si>
  <si>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</si>
  <si>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</si>
  <si>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</si>
  <si>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</si>
  <si>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</si>
  <si>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</si>
  <si>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</si>
  <si>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</si>
  <si>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</si>
  <si>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</si>
  <si>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</si>
  <si>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</si>
  <si>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</si>
  <si>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</si>
  <si>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</si>
  <si>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</si>
  <si>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</si>
  <si>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</si>
  <si>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</si>
  <si>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</si>
  <si>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</si>
  <si>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</si>
  <si>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</si>
  <si>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</si>
  <si>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</si>
  <si>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</si>
  <si>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</si>
  <si>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</si>
  <si>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</si>
  <si>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</si>
  <si>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</si>
  <si>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</si>
  <si>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</si>
  <si>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</si>
  <si>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</si>
  <si>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</si>
  <si>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</si>
  <si>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</si>
  <si>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</si>
  <si>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</si>
  <si>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</si>
  <si>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</si>
  <si>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</si>
  <si>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</si>
  <si>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</si>
  <si>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</si>
  <si>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</si>
  <si>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</si>
  <si>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</si>
  <si>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</si>
  <si>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</si>
  <si>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</si>
  <si>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</si>
  <si>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</si>
  <si>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</si>
  <si>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</si>
  <si>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</si>
  <si>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</si>
  <si>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</si>
  <si>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</si>
  <si>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</si>
  <si>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</si>
  <si>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</si>
  <si>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</si>
  <si>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</si>
  <si>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</si>
  <si>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</si>
  <si>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</si>
  <si>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</si>
  <si>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</si>
  <si>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</si>
  <si>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</si>
  <si>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</si>
  <si>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</si>
  <si>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</si>
  <si>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</si>
  <si>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</si>
  <si>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</si>
  <si>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</si>
  <si>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</si>
  <si>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</si>
  <si>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</si>
  <si>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</si>
  <si>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</si>
  <si>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</si>
  <si>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</si>
  <si>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</si>
  <si>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</si>
  <si>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</si>
  <si>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</si>
  <si>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</si>
  <si>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</si>
  <si>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</si>
  <si>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</si>
  <si>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</si>
  <si>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</si>
  <si>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</si>
  <si>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</si>
  <si>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</si>
  <si>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</si>
  <si>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</si>
  <si>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</si>
  <si>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</si>
  <si>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</si>
  <si>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</si>
  <si>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</si>
  <si>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</si>
  <si>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</si>
  <si>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</si>
  <si>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</si>
  <si>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</si>
  <si>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</si>
  <si>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</si>
  <si>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</si>
  <si>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</si>
  <si>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</si>
  <si>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</si>
  <si>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</si>
  <si>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</si>
  <si>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</si>
  <si>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</si>
  <si>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</si>
  <si>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</si>
  <si>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</si>
  <si>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</si>
  <si>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</si>
  <si>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</si>
  <si>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</si>
  <si>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</si>
  <si>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</si>
  <si>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</si>
  <si>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</si>
  <si>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</si>
  <si>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</si>
  <si>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</si>
  <si>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</si>
  <si>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</si>
  <si>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</si>
  <si>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</si>
  <si>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</si>
  <si>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</si>
  <si>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</si>
  <si>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</si>
  <si>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</si>
  <si>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</si>
  <si>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</si>
  <si>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</si>
  <si>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</si>
  <si>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</si>
  <si>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</si>
  <si>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</si>
  <si>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</si>
  <si>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</si>
  <si>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</si>
  <si>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</si>
  <si>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</si>
  <si>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</si>
  <si>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</si>
  <si>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</si>
  <si>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</si>
  <si>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</si>
  <si>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</si>
  <si>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</si>
  <si>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</si>
  <si>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</si>
  <si>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</si>
  <si>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</si>
  <si>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</si>
  <si>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</si>
  <si>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</si>
  <si>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</si>
  <si>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</si>
  <si>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</si>
  <si>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</si>
  <si>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</si>
  <si>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</si>
  <si>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</si>
  <si>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</si>
  <si>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</si>
  <si>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</si>
  <si>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</si>
  <si>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</si>
  <si>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</si>
  <si>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</si>
  <si>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</si>
  <si>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</si>
  <si>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</si>
  <si>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</si>
  <si>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</si>
  <si>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</si>
  <si>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</si>
  <si>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</si>
  <si>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</si>
  <si>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</si>
  <si>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</si>
  <si>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</si>
  <si>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</si>
  <si>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</si>
  <si>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</si>
  <si>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</si>
  <si>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</si>
  <si>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</si>
  <si>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</si>
  <si>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</si>
  <si>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</si>
  <si>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</si>
  <si>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</si>
  <si>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</si>
  <si>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</si>
  <si>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</si>
  <si>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</si>
  <si>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</si>
  <si>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</si>
  <si>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</si>
  <si>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</si>
  <si>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</si>
  <si>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</si>
  <si>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</si>
  <si>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</si>
  <si>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</si>
  <si>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</si>
  <si>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</si>
  <si>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</si>
  <si>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</si>
  <si>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</si>
  <si>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</si>
  <si>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</si>
  <si>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</si>
  <si>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</si>
  <si>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</si>
  <si>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</si>
  <si>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</si>
  <si>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</si>
  <si>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</si>
  <si>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</si>
  <si>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</si>
  <si>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</si>
  <si>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</si>
  <si>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</si>
  <si>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</si>
  <si>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</si>
  <si>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</si>
  <si>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</si>
  <si>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</si>
  <si>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</si>
  <si>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</si>
  <si>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</si>
  <si>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</si>
  <si>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</si>
  <si>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</si>
  <si>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</si>
  <si>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</si>
  <si>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</si>
  <si>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</si>
  <si>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</si>
  <si>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</si>
  <si>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</si>
  <si>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</si>
  <si>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</si>
  <si>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</si>
  <si>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</si>
  <si>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</si>
  <si>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</si>
  <si>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</si>
  <si>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</si>
  <si>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</si>
  <si>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</si>
  <si>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</si>
  <si>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</si>
  <si>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</si>
  <si>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</si>
  <si>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</si>
  <si>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</si>
  <si>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</si>
  <si>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</si>
  <si>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</si>
  <si>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</si>
  <si>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</si>
  <si>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</si>
  <si>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</si>
  <si>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</si>
  <si>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</si>
  <si>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</si>
  <si>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</si>
  <si>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</si>
  <si>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</si>
  <si>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</si>
  <si>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</si>
  <si>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</si>
  <si>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</si>
  <si>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</si>
  <si>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</si>
  <si>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</si>
  <si>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</si>
  <si>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</si>
  <si>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</si>
  <si>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</si>
  <si>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</si>
  <si>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</si>
  <si>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</si>
  <si>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</si>
  <si>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</si>
  <si>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</si>
  <si>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</si>
  <si>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</si>
  <si>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</si>
  <si>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</si>
  <si>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</si>
  <si>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</si>
  <si>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</si>
  <si>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</si>
  <si>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</si>
  <si>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</si>
  <si>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</si>
  <si>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</si>
  <si>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</si>
  <si>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</si>
  <si>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</si>
  <si>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</si>
  <si>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</si>
  <si>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</si>
  <si>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</si>
  <si>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</si>
  <si>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</si>
  <si>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</si>
  <si>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</si>
  <si>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</si>
  <si>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</si>
  <si>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</si>
  <si>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</si>
  <si>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</si>
  <si>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</si>
  <si>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</si>
  <si>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</si>
  <si>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</si>
  <si>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</si>
  <si>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</si>
  <si>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</si>
  <si>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</si>
  <si>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</si>
  <si>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</si>
  <si>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</si>
  <si>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</si>
  <si>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</si>
  <si>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</si>
  <si>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</si>
  <si>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</si>
  <si>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</si>
  <si>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</si>
  <si>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</si>
  <si>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</si>
  <si>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</si>
  <si>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</si>
  <si>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</si>
  <si>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</si>
  <si>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</si>
  <si>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</si>
  <si>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</si>
  <si>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</si>
  <si>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</si>
  <si>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</si>
  <si>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</si>
  <si>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</si>
  <si>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</si>
  <si>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</si>
  <si>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</si>
  <si>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</si>
  <si>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</si>
  <si>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</si>
  <si>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</si>
  <si>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</si>
  <si>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</si>
  <si>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</si>
  <si>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</si>
  <si>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</si>
  <si>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</si>
  <si>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</si>
  <si>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</si>
  <si>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</si>
  <si>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</si>
  <si>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</si>
  <si>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</si>
  <si>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</si>
  <si>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</si>
  <si>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</si>
  <si>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</si>
  <si>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</si>
  <si>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</si>
  <si>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</si>
  <si>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</si>
  <si>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</si>
  <si>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</si>
  <si>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</si>
  <si>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</si>
  <si>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</si>
  <si>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</si>
  <si>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</si>
  <si>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</si>
  <si>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</si>
  <si>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</si>
  <si>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</si>
  <si>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</si>
  <si>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</si>
  <si>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</si>
  <si>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</si>
  <si>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</si>
  <si>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</si>
  <si>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</si>
  <si>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</si>
  <si>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</si>
  <si>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</si>
  <si>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</si>
  <si>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</si>
  <si>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</si>
  <si>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</si>
  <si>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</si>
  <si>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</si>
  <si>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</si>
  <si>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</si>
  <si>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</si>
  <si>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</si>
  <si>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</si>
  <si>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</si>
  <si>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</si>
  <si>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</si>
  <si>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</si>
  <si>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</si>
  <si>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</si>
  <si>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</si>
  <si>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</si>
  <si>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</si>
  <si>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</si>
  <si>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</si>
  <si>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</si>
  <si>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</si>
  <si>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</si>
  <si>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</si>
  <si>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</si>
  <si>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</si>
  <si>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</si>
  <si>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</si>
  <si>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</si>
  <si>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</si>
  <si>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</si>
  <si>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</si>
  <si>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</si>
  <si>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</si>
  <si>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</si>
  <si>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</si>
  <si>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</si>
  <si>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</si>
  <si>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</si>
  <si>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</si>
  <si>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</si>
  <si>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</si>
  <si>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</si>
  <si>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</si>
  <si>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</si>
  <si>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</si>
  <si>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</si>
  <si>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</si>
  <si>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</si>
  <si>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</si>
  <si>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</si>
  <si>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</si>
  <si>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</si>
  <si>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</si>
  <si>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</si>
  <si>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</si>
  <si>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</si>
  <si>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</si>
  <si>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</si>
  <si>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</si>
  <si>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</si>
  <si>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</si>
  <si>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</si>
  <si>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</si>
  <si>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</si>
  <si>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</si>
  <si>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</si>
  <si>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</si>
  <si>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</si>
  <si>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</si>
  <si>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</si>
  <si>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</si>
  <si>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</si>
  <si>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</si>
  <si>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</si>
  <si>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</si>
  <si>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</si>
  <si>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</si>
  <si>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</si>
  <si>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</si>
  <si>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</si>
  <si>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</si>
  <si>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</si>
  <si>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</si>
  <si>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</si>
  <si>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</si>
  <si>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</si>
  <si>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</si>
  <si>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</si>
  <si>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</si>
  <si>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</si>
  <si>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</si>
  <si>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</si>
  <si>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</si>
  <si>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</si>
  <si>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</si>
  <si>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</si>
  <si>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</si>
  <si>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</si>
  <si>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</si>
  <si>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</si>
  <si>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</si>
  <si>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</si>
  <si>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</si>
  <si>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</si>
  <si>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</si>
  <si>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</si>
  <si>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</si>
  <si>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</si>
  <si>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</si>
  <si>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</si>
  <si>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</si>
  <si>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</si>
  <si>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</si>
  <si>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</si>
  <si>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</si>
  <si>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</si>
  <si>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</si>
  <si>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</si>
  <si>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</si>
  <si>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</si>
  <si>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</si>
  <si>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</si>
  <si>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</si>
  <si>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</si>
  <si>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</si>
  <si>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</si>
  <si>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</si>
  <si>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</si>
  <si>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</si>
  <si>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</si>
  <si>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</si>
  <si>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</si>
  <si>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</si>
  <si>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</si>
  <si>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</si>
  <si>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</si>
  <si>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</si>
  <si>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</si>
  <si>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</si>
  <si>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</si>
  <si>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</si>
  <si>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</si>
  <si>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</si>
  <si>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</si>
  <si>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</si>
  <si>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</si>
  <si>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</si>
  <si>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</si>
  <si>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</si>
  <si>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</si>
  <si>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</si>
  <si>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</si>
  <si>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</si>
  <si>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</si>
  <si>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</si>
  <si>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</si>
  <si>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</si>
  <si>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</si>
  <si>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</si>
  <si>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</si>
  <si>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</si>
  <si>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</si>
  <si>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</si>
  <si>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</si>
  <si>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</si>
  <si>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</si>
  <si>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</si>
  <si>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</si>
  <si>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</si>
  <si>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</si>
  <si>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</si>
  <si>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</si>
  <si>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</si>
  <si>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</si>
  <si>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</si>
  <si>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</si>
  <si>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</si>
  <si>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</si>
  <si>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</si>
  <si>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</si>
  <si>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</si>
  <si>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</si>
  <si>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</si>
  <si>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</si>
  <si>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</si>
  <si>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</si>
  <si>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</si>
  <si>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</si>
  <si>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</si>
  <si>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</si>
  <si>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</si>
  <si>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</si>
  <si>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</si>
  <si>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</si>
  <si>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</si>
  <si>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</si>
  <si>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</si>
  <si>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</si>
  <si>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</si>
  <si>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</si>
  <si>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</si>
  <si>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</si>
  <si>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</si>
  <si>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</si>
  <si>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</si>
  <si>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</si>
  <si>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</si>
  <si>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</si>
  <si>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</si>
  <si>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</si>
  <si>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</si>
  <si>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</si>
  <si>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</si>
  <si>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</si>
  <si>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</si>
  <si>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</si>
  <si>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</si>
  <si>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</si>
  <si>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</si>
  <si>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</si>
  <si>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</si>
  <si>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</si>
  <si>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</si>
  <si>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</si>
  <si>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</si>
  <si>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</si>
  <si>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</si>
  <si>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</si>
  <si>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</si>
  <si>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</si>
  <si>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</si>
  <si>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</si>
  <si>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</si>
  <si>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</si>
  <si>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</si>
  <si>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</si>
  <si>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</si>
  <si>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</si>
  <si>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</si>
  <si>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</si>
  <si>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</si>
  <si>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</si>
  <si>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</si>
  <si>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</si>
  <si>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</si>
  <si>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</si>
  <si>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</si>
  <si>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</si>
  <si>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</si>
  <si>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</si>
  <si>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</si>
  <si>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</si>
  <si>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</si>
  <si>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</si>
  <si>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</si>
  <si>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</si>
  <si>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</si>
  <si>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</si>
  <si>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</si>
  <si>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</si>
  <si>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</si>
  <si>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</si>
  <si>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</si>
  <si>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</si>
  <si>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</si>
  <si>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</si>
  <si>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</si>
  <si>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</si>
  <si>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</si>
  <si>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</si>
  <si>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</si>
  <si>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</si>
  <si>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</si>
  <si>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</si>
  <si>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</si>
  <si>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</si>
  <si>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</si>
  <si>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</si>
  <si>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</si>
  <si>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</si>
  <si>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</si>
  <si>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</si>
  <si>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</si>
  <si>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</si>
  <si>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</si>
  <si>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</si>
  <si>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</si>
  <si>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</si>
  <si>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</si>
  <si>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</si>
  <si>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</si>
  <si>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</si>
  <si>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</si>
  <si>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</si>
  <si>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</si>
  <si>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</si>
  <si>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</si>
  <si>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</si>
  <si>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</si>
  <si>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</si>
  <si>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</si>
  <si>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</si>
  <si>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</si>
  <si>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</si>
  <si>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</si>
  <si>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</si>
  <si>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</si>
  <si>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</si>
  <si>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</si>
  <si>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</si>
  <si>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</si>
  <si>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</si>
  <si>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</si>
  <si>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</si>
  <si>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</si>
  <si>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</si>
  <si>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</si>
  <si>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</si>
  <si>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</si>
  <si>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</si>
  <si>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</si>
  <si>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</si>
  <si>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</si>
  <si>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</si>
  <si>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</si>
  <si>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</si>
  <si>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</si>
  <si>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</si>
  <si>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</si>
  <si>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</si>
  <si>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</si>
  <si>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</si>
  <si>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</si>
  <si>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</si>
  <si>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</si>
  <si>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</si>
  <si>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</si>
  <si>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</si>
  <si>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</si>
  <si>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</si>
  <si>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</si>
  <si>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</si>
  <si>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</si>
  <si>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</si>
  <si>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</si>
  <si>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</si>
  <si>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</si>
  <si>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</si>
  <si>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</si>
  <si>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</si>
  <si>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</si>
  <si>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</si>
  <si>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</si>
  <si>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</si>
  <si>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</si>
  <si>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</si>
  <si>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</si>
  <si>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</si>
  <si>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</si>
  <si>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</si>
  <si>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</si>
  <si>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</si>
  <si>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</si>
  <si>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</si>
  <si>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</si>
  <si>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</si>
  <si>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</si>
  <si>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</si>
  <si>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</si>
  <si>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</si>
  <si>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</si>
  <si>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</si>
  <si>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</si>
  <si>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</si>
  <si>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</si>
  <si>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</si>
  <si>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</si>
  <si>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</si>
  <si>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</si>
  <si>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</si>
  <si>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</si>
  <si>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</si>
  <si>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</si>
  <si>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</si>
  <si>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</si>
  <si>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</si>
  <si>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</si>
  <si>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</si>
  <si>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</si>
  <si>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</si>
  <si>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</si>
  <si>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</si>
  <si>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</si>
  <si>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</si>
  <si>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</si>
  <si>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</si>
  <si>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</si>
  <si>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</si>
  <si>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</si>
  <si>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</si>
  <si>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</si>
  <si>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</si>
  <si>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</si>
  <si>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</si>
  <si>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</si>
  <si>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</si>
  <si>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</si>
  <si>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</si>
  <si>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</si>
  <si>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</si>
  <si>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</si>
  <si>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</si>
  <si>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</si>
  <si>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</si>
  <si>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</si>
  <si>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</si>
  <si>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</si>
  <si>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</si>
  <si>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</si>
  <si>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</si>
  <si>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</si>
  <si>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</si>
  <si>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</si>
  <si>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</si>
  <si>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</si>
  <si>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</si>
  <si>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</si>
  <si>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</si>
  <si>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</si>
  <si>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</si>
  <si>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</si>
  <si>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</si>
  <si>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</si>
  <si>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</si>
  <si>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</si>
  <si>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</si>
  <si>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</si>
  <si>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</si>
  <si>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</si>
  <si>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</si>
  <si>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</si>
  <si>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</si>
  <si>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</si>
  <si>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</si>
  <si>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</si>
  <si>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</si>
  <si>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</si>
  <si>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</si>
  <si>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</si>
  <si>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</si>
  <si>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</si>
  <si>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</si>
  <si>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</si>
  <si>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</si>
  <si>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</si>
  <si>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</si>
  <si>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</si>
  <si>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</si>
  <si>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</si>
  <si>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</si>
  <si>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</si>
  <si>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</si>
  <si>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</si>
  <si>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</si>
  <si>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</si>
  <si>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</si>
  <si>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</si>
  <si>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</si>
  <si>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</si>
  <si>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</si>
  <si>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</si>
  <si>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</si>
  <si>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</si>
  <si>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</si>
  <si>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</si>
  <si>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</si>
  <si>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</si>
  <si>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</si>
  <si>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</si>
  <si>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</si>
  <si>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</si>
  <si>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</si>
  <si>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</si>
  <si>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</si>
  <si>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</si>
  <si>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</si>
  <si>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</si>
  <si>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</si>
  <si>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</si>
  <si>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</si>
  <si>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</si>
  <si>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</si>
  <si>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</si>
  <si>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</si>
  <si>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</si>
  <si>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</si>
  <si>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</si>
  <si>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</si>
  <si>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</si>
  <si>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</si>
  <si>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</si>
  <si>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</si>
  <si>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</si>
  <si>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</si>
  <si>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</si>
  <si>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</si>
  <si>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</si>
  <si>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</si>
  <si>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</si>
  <si>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</si>
  <si>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</si>
  <si>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</si>
  <si>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</si>
  <si>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</si>
  <si>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</si>
  <si>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</si>
  <si>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</si>
  <si>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</si>
  <si>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</si>
  <si>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</si>
  <si>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</si>
  <si>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</si>
  <si>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</si>
  <si>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</si>
  <si>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</si>
  <si>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</si>
  <si>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</si>
  <si>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</si>
  <si>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</si>
  <si>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</si>
  <si>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</si>
  <si>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</si>
  <si>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</si>
  <si>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</si>
  <si>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</si>
  <si>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</si>
  <si>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</si>
  <si>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</si>
  <si>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</si>
  <si>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</si>
  <si>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</si>
  <si>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</si>
  <si>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</si>
  <si>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</si>
  <si>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</si>
  <si>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</si>
  <si>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</si>
  <si>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</si>
  <si>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</si>
  <si>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</si>
  <si>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</si>
  <si>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</si>
  <si>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</si>
  <si>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</si>
  <si>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</si>
  <si>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</si>
  <si>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</si>
  <si>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</si>
  <si>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</si>
  <si>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</si>
  <si>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</si>
  <si>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</si>
  <si>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</si>
  <si>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</si>
  <si>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</si>
  <si>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</si>
  <si>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</si>
  <si>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</si>
  <si>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</si>
  <si>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</si>
  <si>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</si>
  <si>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</si>
  <si>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</si>
  <si>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</si>
  <si>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</si>
  <si>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</si>
  <si>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</si>
  <si>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</si>
  <si>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</si>
  <si>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</si>
  <si>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</si>
  <si>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</si>
  <si>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</si>
  <si>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</si>
  <si>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</si>
  <si>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</si>
  <si>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</si>
  <si>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</si>
  <si>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</si>
  <si>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</si>
  <si>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</si>
  <si>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</si>
  <si>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</si>
  <si>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</si>
  <si>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</si>
  <si>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</si>
  <si>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</si>
  <si>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</si>
  <si>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</si>
  <si>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</si>
  <si>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</si>
  <si>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</si>
  <si>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</si>
  <si>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</si>
  <si>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</si>
  <si>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</si>
  <si>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</si>
  <si>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</si>
  <si>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</si>
  <si>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</si>
  <si>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</si>
  <si>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</si>
  <si>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</si>
  <si>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</si>
  <si>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</si>
  <si>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</si>
  <si>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</si>
  <si>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</si>
  <si>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</si>
  <si>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</si>
  <si>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</si>
  <si>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</si>
  <si>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</si>
  <si>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</si>
  <si>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</si>
  <si>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</si>
  <si>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</si>
  <si>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</si>
  <si>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</si>
  <si>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</si>
  <si>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</si>
  <si>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</si>
  <si>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</si>
  <si>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</si>
  <si>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</si>
  <si>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</si>
  <si>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</si>
  <si>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</si>
  <si>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</si>
  <si>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</si>
  <si>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</si>
  <si>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Хорольский муниципальный округ</t>
  </si>
  <si>
    <t>05550000</t>
  </si>
  <si>
    <t>79</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</si>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</sst>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23" formatCode="000000"/>
    <numFmt numFmtId="524" formatCode="#,##0.000"/>
    <numFmt numFmtId="525" formatCode="#,##0.0000"/>
    <numFmt numFmtId="526" formatCode="dd\.mm\.yyyy"/>
    <numFmt numFmtId="527" formatCode="h:mm;@"/>
    <numFmt numFmtId="528" formatCode="_-* #,##0.00\ _₽_-;\-* #,##0.00\ _₽_-;_-* &quot;-&quot;??\ _₽_-;_-@_-"/>
    <numFmt numFmtId="529" formatCode="_-* #,##0\ _₽_-;\-* #,##0\ _₽_-;_-* &quot;-&quot;\ _₽_-;_-@_-"/>
    <numFmt numFmtId="530" formatCode="_-* #,##0.00\ &quot;₽&quot;_-;\-* #,##0.00\ &quot;₽&quot;_-;_-* &quot;-&quot;??\ &quot;₽&quot;_-;_-@_-"/>
    <numFmt numFmtId="531" formatCode="_-* #,##0\ &quot;₽&quot;_-;\-* #,##0\ &quot;₽&quot;_-;_-* &quot;-&quot;\ &quot;₽&quot;_-;_-@_-"/>
    <numFmt numFmtId="532" formatCode="_-* #,##0.00[$€-1]_-;\-* #,##0.00[$€-1]_-;_-* &quot;-&quot;??[$€-1]_-"/>
    <numFmt numFmtId="533"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28" fontId="6" fillId="0" borderId="0" applyFont="0" applyFill="0" applyBorder="0" applyNumberFormat="1">
      <alignment vertical="top"/>
    </xf>
    <xf numFmtId="529" fontId="6" fillId="0" borderId="0" applyFont="0" applyFill="0" applyBorder="0" applyNumberFormat="1">
      <alignment vertical="top"/>
    </xf>
    <xf numFmtId="530" fontId="6" fillId="0" borderId="0" applyFont="0" applyFill="0" applyBorder="0" applyNumberFormat="1">
      <alignment vertical="top"/>
    </xf>
    <xf numFmtId="53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32" fontId="20" fillId="0" borderId="0" applyFont="1" applyFill="0" applyBorder="0" applyNumberFormat="1"/>
    <xf numFmtId="38" fontId="21" fillId="0" borderId="0" applyFont="1" applyFill="0" applyBorder="0" applyNumberFormat="1">
      <alignment vertical="top"/>
    </xf>
    <xf numFmtId="533" fontId="22" fillId="33" borderId="0" applyFont="1" applyFill="1" applyBorder="0" applyNumberFormat="1">
      <protection locked="0"/>
    </xf>
    <xf numFmtId="0" fontId="23" fillId="0" borderId="0" applyFont="1" applyFill="0" applyBorder="0">
      <alignment vertical="center"/>
    </xf>
    <xf numFmtId="524" fontId="22" fillId="33" borderId="0" applyFont="1" applyFill="1" applyBorder="0" applyNumberFormat="1">
      <protection locked="0"/>
    </xf>
    <xf numFmtId="52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37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28" fontId="6" fillId="0" borderId="0" xfId="28" applyNumberFormat="1">
      <alignment vertical="top"/>
    </xf>
    <xf numFmtId="529" fontId="6" fillId="0" borderId="0" xfId="29" applyNumberFormat="1">
      <alignment vertical="top"/>
    </xf>
    <xf numFmtId="530" fontId="6" fillId="0" borderId="0" xfId="30" applyNumberFormat="1">
      <alignment vertical="top"/>
    </xf>
    <xf numFmtId="531"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32" fontId="20" fillId="0" borderId="0" xfId="49" applyFont="1" applyNumberFormat="1"/>
    <xf numFmtId="38" fontId="21" fillId="0" borderId="0" xfId="50" applyFont="1" applyNumberFormat="1">
      <alignment vertical="top"/>
    </xf>
    <xf numFmtId="533" fontId="22" fillId="33" borderId="0" xfId="51" applyFont="1" applyFill="1" applyNumberFormat="1">
      <protection locked="0"/>
    </xf>
    <xf numFmtId="0" fontId="23" fillId="0" borderId="0" xfId="52" applyFont="1">
      <alignment vertical="center"/>
    </xf>
    <xf numFmtId="524" fontId="22" fillId="33" borderId="0" xfId="53" applyFont="1" applyFill="1" applyNumberFormat="1">
      <protection locked="0"/>
    </xf>
    <xf numFmtId="52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2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2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25"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25"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25"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2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25"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25" fontId="22" fillId="39" borderId="13" xfId="0" applyFont="1" applyFill="1" applyBorder="1" applyNumberFormat="1">
      <alignment horizontal="right" vertical="center" wrapText="1"/>
      <protection locked="0"/>
    </xf>
    <xf numFmtId="52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4"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24"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24"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2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2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23"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26" fontId="0" fillId="39" borderId="12" xfId="0" applyFont="1" applyFill="1" applyBorder="1" applyNumberFormat="1">
      <alignment horizontal="left" vertical="center" wrapText="1" indent="1"/>
      <protection locked="0"/>
    </xf>
    <xf numFmtId="526" fontId="0" fillId="0" borderId="12" xfId="0" applyFont="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526" fontId="48" fillId="0" borderId="0" xfId="0" applyFont="1" applyNumberFormat="1">
      <alignment horizontal="center" vertical="center" wrapText="1"/>
    </xf>
    <xf numFmtId="526" fontId="48" fillId="0" borderId="12" xfId="0" applyFont="1" applyBorder="1" applyNumberFormat="1">
      <alignment horizontal="center" vertical="center" wrapText="1"/>
    </xf>
    <xf numFmtId="526" fontId="0" fillId="39" borderId="12" xfId="0" applyFont="1" applyFill="1" applyBorder="1" applyNumberFormat="1">
      <alignment horizontal="left" vertical="center" wrapText="1"/>
      <protection locked="0"/>
    </xf>
    <xf numFmtId="526" fontId="0" fillId="36" borderId="12" xfId="0" applyFont="1" applyFill="1" applyBorder="1" applyNumberFormat="1">
      <alignment horizontal="left" vertical="center" wrapText="1" indent="1"/>
      <protection locked="0"/>
    </xf>
    <xf numFmtId="526"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26" fontId="0" fillId="39" borderId="14" xfId="0" applyFont="1" applyFill="1" applyBorder="1" applyNumberFormat="1">
      <alignment horizontal="left" vertical="center" wrapText="1"/>
      <protection locked="0"/>
    </xf>
    <xf numFmtId="52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23"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23"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527" fontId="22" fillId="39" borderId="12" xfId="0" applyFont="1" applyFill="1" applyBorder="1" applyNumberFormat="1">
      <alignment horizontal="left" vertical="center" wrapText="1" indent="1"/>
      <protection locked="0"/>
    </xf>
    <xf numFmtId="52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26" fontId="22" fillId="34"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23" fontId="22" fillId="0" borderId="17"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52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2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26"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vertical="top"/>
      <protection locked="0"/>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37"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2"/>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40" fillId="37" borderId="13" xfId="0" applyFont="1" applyFill="1" applyBorder="1" applyNumberFormat="1">
      <alignment horizontal="left" vertical="center"/>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lmatovaev@primtep.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1d4136a2-5f4c-4089-8ece-33d332835526"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04483-6711-3FE1-BC53-8468834AA8C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43" width="5.421875" customWidth="1"/>
    <col min="2" max="2" style="5343" width="9.140625" customWidth="1"/>
    <col min="3" max="3" style="5343" width="16.421875" customWidth="1"/>
    <col min="4" max="25" style="5343" width="6.28125" customWidth="1"/>
    <col min="26" max="28" style="5343"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464C47-B809-19C7-3AA8-FA26E85ECD61}"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5462" width="10.7109375" hidden="1" customWidth="1"/>
    <col min="2" max="2" style="5463" width="10.7109375" hidden="1" customWidth="1"/>
    <col min="3" max="3" style="5464" width="3.00390625" customWidth="1"/>
    <col min="4" max="4" style="5387" width="1.00390625" customWidth="1"/>
    <col min="5" max="6" style="5387" width="55.00390625" customWidth="1"/>
    <col min="7" max="7" style="5465" width="1.00390625" customWidth="1"/>
    <col min="8" max="8" style="5387" width="18.00390625" hidden="1" customWidth="1"/>
    <col min="9" max="9" style="5466" width="59.00390625" customWidth="1"/>
    <col min="10" max="10" style="5467" width="52.140625" hidden="1" customWidth="1"/>
    <col min="11" max="11" style="5387" width="8.00390625" customWidth="1"/>
    <col min="12" max="12" style="5387" width="77.00390625" customWidth="1"/>
    <col min="13" max="16" style="5387" width="8.00390625" customWidth="1"/>
    <col min="17" max="17" style="5387" width="12.00390625" hidden="1" customWidth="1"/>
  </cols>
  <sheetData>
    <row s="5344" customFormat="1" customHeight="1" ht="3">
      <c r="A1" s="896"/>
      <c r="B1" s="354"/>
      <c r="F1" s="355" t="s">
        <v>13</v>
      </c>
      <c r="G1" s="524"/>
      <c r="H1" s="184"/>
      <c r="I1" s="524"/>
      <c r="J1" s="984"/>
      <c r="Q1" s="355" t="s">
        <v>14</v>
      </c>
    </row>
    <row s="5351" customFormat="1" customHeight="1" ht="14.25">
      <c r="A2" s="896"/>
      <c r="B2" s="211"/>
      <c r="E2" s="1853" t="str">
        <f>code</f>
        <v>Код отчёта: PP108.OPEN.INFO.REQUEST.VOTV.EIAS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62"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362"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62" customFormat="1" customHeight="1" ht="6.3">
      <c r="A8" s="898"/>
      <c r="B8" s="345"/>
      <c r="C8" s="346"/>
      <c r="D8" s="352"/>
      <c r="E8" s="350"/>
      <c r="F8" s="353"/>
      <c r="G8" s="190"/>
      <c r="H8" s="522"/>
      <c r="I8" s="524"/>
      <c r="J8" s="990"/>
      <c r="Q8" s="349">
        <v>6</v>
      </c>
    </row>
    <row s="5387"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62"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45658.54084490741</v>
      </c>
      <c r="G11" s="190"/>
      <c r="H11" s="886" t="s">
        <v>22</v>
      </c>
      <c r="J11" s="989" t="s">
        <v>23</v>
      </c>
      <c r="Q11" s="187">
        <v>0</v>
      </c>
    </row>
    <row customHeight="1" ht="22.5">
      <c r="A12" s="2211"/>
      <c r="D12" s="188"/>
      <c r="E12" s="1278" t="s">
        <v>24</v>
      </c>
      <c r="F12" s="2843">
        <v>47118.540983796294</v>
      </c>
      <c r="G12" s="186"/>
      <c r="J12" s="989" t="s">
        <v>25</v>
      </c>
      <c r="Q12" s="187">
        <v>0</v>
      </c>
    </row>
    <row s="5387" customFormat="1" customHeight="1" ht="22.5" hidden="1">
      <c r="A13" s="901" t="s">
        <v>26</v>
      </c>
      <c r="B13" s="211"/>
      <c r="C13" s="521"/>
      <c r="D13" s="523"/>
      <c r="E13" s="1888" t="s">
        <v>27</v>
      </c>
      <c r="F13" s="1845" t="s">
        <v>28</v>
      </c>
      <c r="G13" s="190"/>
      <c r="H13" s="883"/>
      <c r="I13" s="524"/>
      <c r="J13" s="1889" t="s">
        <v>29</v>
      </c>
      <c r="Q13" s="522">
        <v>0</v>
      </c>
    </row>
    <row s="5387" customFormat="1" customHeight="1" ht="27" hidden="1">
      <c r="A14" s="901" t="s">
        <v>30</v>
      </c>
      <c r="B14" s="211"/>
      <c r="C14" s="521"/>
      <c r="D14" s="523"/>
      <c r="E14" s="1278" t="s">
        <v>31</v>
      </c>
      <c r="F14" s="1880"/>
      <c r="G14" s="190"/>
      <c r="H14" s="883"/>
      <c r="I14" s="524"/>
      <c r="J14" s="989" t="s">
        <v>32</v>
      </c>
      <c r="Q14" s="522">
        <v>0</v>
      </c>
    </row>
    <row s="5387" customFormat="1" customHeight="1" ht="19.5" hidden="1">
      <c r="A15" s="901" t="s">
        <v>33</v>
      </c>
      <c r="B15" s="211"/>
      <c r="C15" s="521"/>
      <c r="D15" s="523"/>
      <c r="E15" s="1278" t="s">
        <v>34</v>
      </c>
      <c r="F15" s="1880"/>
      <c r="G15" s="190"/>
      <c r="H15" s="883"/>
      <c r="I15" s="524"/>
      <c r="J15" s="989" t="s">
        <v>35</v>
      </c>
      <c r="Q15" s="522">
        <v>0</v>
      </c>
    </row>
    <row s="5362" customFormat="1" customHeight="1" ht="6.3">
      <c r="A16" s="898"/>
      <c r="B16" s="345"/>
      <c r="C16" s="346"/>
      <c r="D16" s="352"/>
      <c r="E16" s="350"/>
      <c r="F16" s="353"/>
      <c r="G16" s="190"/>
      <c r="H16" s="522"/>
      <c r="I16" s="524"/>
      <c r="J16" s="987"/>
      <c r="Q16" s="349">
        <v>6</v>
      </c>
    </row>
    <row customHeight="1" ht="21">
      <c r="D17" s="188"/>
      <c r="E17" s="504" t="s">
        <v>36</v>
      </c>
      <c r="F17" s="2851" t="s">
        <v>37</v>
      </c>
      <c r="G17" s="186"/>
      <c r="H17" s="886" t="s">
        <v>22</v>
      </c>
      <c r="Q17" s="187">
        <v>20</v>
      </c>
    </row>
    <row customHeight="1" ht="25.5">
      <c r="D18" s="188"/>
      <c r="E18" s="1888" t="s">
        <v>38</v>
      </c>
      <c r="F18" s="2852">
        <v>45408.54127314815</v>
      </c>
      <c r="G18" s="186"/>
      <c r="I18" s="887"/>
      <c r="J18" s="2210" t="s">
        <v>39</v>
      </c>
      <c r="Q18" s="187">
        <v>0</v>
      </c>
    </row>
    <row customHeight="1" ht="25.5">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852">
        <v>45658.602175925924</v>
      </c>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45044.602534722224</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c r="D26" s="188"/>
      <c r="E26" s="504" t="str">
        <f>"Дата "&amp;IF(TEMPLATE_GROUP="P","принятия решения","подачи заявления")&amp;" об изменении тарифов"</f>
        <v>Дата подачи заявления об изменении тарифов</v>
      </c>
      <c r="F26" s="2852">
        <v>45408.605891203704</v>
      </c>
      <c r="G26" s="186"/>
      <c r="Q26" s="187">
        <v>0</v>
      </c>
    </row>
    <row customHeight="1" ht="19.5">
      <c r="D27" s="188"/>
      <c r="E27" s="1278" t="str">
        <f>"Номер "&amp;IF(TEMPLATE_GROUP="P","принятия решения","заявления")&amp;" об изменении тарифов"</f>
        <v>Номер заявления об изменении тарифов</v>
      </c>
      <c r="F27" s="2860" t="s">
        <v>45</v>
      </c>
      <c r="G27" s="186"/>
      <c r="Q27" s="187">
        <v>0</v>
      </c>
    </row>
    <row customHeight="1" ht="24.75" hidden="1">
      <c r="D28" s="188"/>
      <c r="E28" s="504" t="s">
        <v>46</v>
      </c>
      <c r="F28" s="331"/>
      <c r="G28" s="186"/>
      <c r="Q28" s="187">
        <v>0</v>
      </c>
    </row>
    <row customHeight="1" ht="19.5" hidden="1">
      <c r="D29" s="188"/>
      <c r="E29" s="504" t="s">
        <v>43</v>
      </c>
      <c r="F29" s="331"/>
      <c r="G29" s="186"/>
      <c r="Q29" s="187">
        <v>0</v>
      </c>
    </row>
    <row s="5362"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47</v>
      </c>
      <c r="G31" s="889"/>
      <c r="Q31" s="187">
        <v>20</v>
      </c>
    </row>
    <row customHeight="1" ht="21" hidden="1">
      <c r="C32" s="191"/>
      <c r="D32" s="192"/>
      <c r="E32" s="505" t="s">
        <v>48</v>
      </c>
      <c r="F32" s="330"/>
      <c r="G32" s="889"/>
      <c r="Q32" s="187">
        <v>20</v>
      </c>
    </row>
    <row customHeight="1" ht="21">
      <c r="C33" s="191"/>
      <c r="D33" s="192"/>
      <c r="E33" s="504" t="s">
        <v>49</v>
      </c>
      <c r="F33" s="330" t="s">
        <v>50</v>
      </c>
      <c r="G33" s="889"/>
      <c r="Q33" s="187">
        <v>20</v>
      </c>
    </row>
    <row customHeight="1" ht="21">
      <c r="C34" s="191"/>
      <c r="D34" s="192"/>
      <c r="E34" s="504" t="s">
        <v>51</v>
      </c>
      <c r="F34" s="330" t="s">
        <v>52</v>
      </c>
      <c r="G34" s="889"/>
      <c r="H34" s="193"/>
      <c r="Q34" s="187">
        <v>20</v>
      </c>
    </row>
    <row s="5362" customFormat="1" customHeight="1" ht="11.549999999999999">
      <c r="A35" s="898"/>
      <c r="B35" s="345"/>
      <c r="C35" s="346"/>
      <c r="D35" s="352"/>
      <c r="E35" s="350"/>
      <c r="F35" s="353"/>
      <c r="G35" s="190"/>
      <c r="H35" s="522"/>
      <c r="I35" s="524"/>
      <c r="J35" s="987"/>
      <c r="Q35" s="349">
        <v>11</v>
      </c>
    </row>
    <row customHeight="1" ht="19.5" hidden="1">
      <c r="A36" s="992"/>
      <c r="D36" s="192"/>
      <c r="E36" s="504" t="s">
        <v>53</v>
      </c>
      <c r="F36" s="461"/>
      <c r="G36" s="190"/>
      <c r="Q36" s="187">
        <v>0</v>
      </c>
    </row>
    <row customHeight="1" ht="21">
      <c r="A37" s="992"/>
      <c r="D37" s="192"/>
      <c r="E37" s="504" t="s">
        <v>54</v>
      </c>
      <c r="F37" s="2870" t="s">
        <v>55</v>
      </c>
      <c r="G37" s="190"/>
      <c r="Q37" s="187">
        <v>20</v>
      </c>
    </row>
    <row s="5362"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22</v>
      </c>
      <c r="Q39" s="187">
        <v>35</v>
      </c>
    </row>
    <row s="5362" customFormat="1" customHeight="1" ht="6" hidden="1">
      <c r="A40" s="897"/>
      <c r="B40" s="539"/>
      <c r="C40" s="540"/>
      <c r="D40" s="541"/>
      <c r="E40" s="542"/>
      <c r="F40" s="1166"/>
      <c r="G40" s="186"/>
      <c r="H40" s="522"/>
      <c r="I40" s="524"/>
      <c r="J40" s="989"/>
      <c r="Q40" s="543">
        <v>6</v>
      </c>
    </row>
    <row s="5387"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823" t="s">
        <v>19</v>
      </c>
      <c r="G41" s="186"/>
      <c r="I41" s="524"/>
      <c r="J41" s="989"/>
      <c r="Q41" s="522">
        <v>0</v>
      </c>
    </row>
    <row s="5362" customFormat="1" customHeight="1" ht="6" hidden="1">
      <c r="A42" s="897"/>
      <c r="B42" s="539"/>
      <c r="C42" s="540"/>
      <c r="D42" s="541"/>
      <c r="E42" s="542"/>
      <c r="F42" s="1166"/>
      <c r="G42" s="186"/>
      <c r="H42" s="522"/>
      <c r="I42" s="524"/>
      <c r="J42" s="987"/>
      <c r="Q42" s="543">
        <v>0</v>
      </c>
    </row>
    <row s="5387" customFormat="1" customHeight="1" ht="27" hidden="1">
      <c r="A43" s="897"/>
      <c r="B43" s="526"/>
      <c r="C43" s="521"/>
      <c r="D43" s="523"/>
      <c r="E43" s="504" t="s">
        <v>57</v>
      </c>
      <c r="F43" s="823" t="s">
        <v>19</v>
      </c>
      <c r="G43" s="186"/>
      <c r="I43" s="524"/>
      <c r="J43" s="989"/>
      <c r="Q43" s="522">
        <v>0</v>
      </c>
    </row>
    <row s="5387" customFormat="1" customHeight="1" ht="27" hidden="1">
      <c r="A44" s="897"/>
      <c r="B44" s="526"/>
      <c r="C44" s="521"/>
      <c r="D44" s="523"/>
      <c r="E44" s="1278" t="s">
        <v>58</v>
      </c>
      <c r="F44" s="2001"/>
      <c r="G44" s="186"/>
      <c r="I44" s="524"/>
      <c r="J44" s="989"/>
      <c r="Q44" s="522">
        <v>0</v>
      </c>
    </row>
    <row s="5362" customFormat="1" customHeight="1" ht="6" hidden="1">
      <c r="A45" s="897"/>
      <c r="B45" s="539"/>
      <c r="C45" s="540"/>
      <c r="D45" s="541"/>
      <c r="E45" s="542"/>
      <c r="F45" s="1166"/>
      <c r="G45" s="186"/>
      <c r="H45" s="522"/>
      <c r="I45" s="524"/>
      <c r="J45" s="989"/>
      <c r="Q45" s="543">
        <v>0</v>
      </c>
    </row>
    <row s="5362" customFormat="1" customHeight="1" ht="24.75" hidden="1">
      <c r="A46" s="897"/>
      <c r="B46" s="539"/>
      <c r="C46" s="540"/>
      <c r="D46" s="541"/>
      <c r="E46" s="1278" t="s">
        <v>59</v>
      </c>
      <c r="F46" s="823" t="s">
        <v>19</v>
      </c>
      <c r="G46" s="186"/>
      <c r="H46" s="522"/>
      <c r="I46" s="524"/>
      <c r="J46" s="989"/>
      <c r="Q46" s="543">
        <v>0</v>
      </c>
    </row>
    <row s="5387" customFormat="1" customHeight="1" ht="24.75" hidden="1">
      <c r="A47" s="897"/>
      <c r="B47" s="526"/>
      <c r="C47" s="521"/>
      <c r="D47" s="523"/>
      <c r="E47" s="1278" t="s">
        <v>60</v>
      </c>
      <c r="F47" s="823" t="s">
        <v>19</v>
      </c>
      <c r="G47" s="186"/>
      <c r="I47" s="524"/>
      <c r="J47" s="989"/>
      <c r="Q47" s="522">
        <v>0</v>
      </c>
    </row>
    <row s="5362"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823"/>
      <c r="G49" s="186"/>
      <c r="Q49" s="187">
        <v>0</v>
      </c>
    </row>
    <row s="5362" customFormat="1" customHeight="1" ht="6" hidden="1">
      <c r="A50" s="898"/>
      <c r="B50" s="539"/>
      <c r="C50" s="540"/>
      <c r="D50" s="352"/>
      <c r="E50" s="350"/>
      <c r="F50" s="353"/>
      <c r="G50" s="190"/>
      <c r="H50" s="522"/>
      <c r="I50" s="524"/>
      <c r="J50" s="989"/>
      <c r="Q50" s="543">
        <v>0</v>
      </c>
    </row>
    <row s="5387" customFormat="1" customHeight="1" ht="28.5" hidden="1">
      <c r="A51" s="899"/>
      <c r="B51" s="526"/>
      <c r="C51" s="643"/>
      <c r="D51" s="644"/>
      <c r="E51" s="504" t="s">
        <v>61</v>
      </c>
      <c r="F51" s="823" t="s">
        <v>19</v>
      </c>
      <c r="G51" s="645"/>
      <c r="I51" s="647"/>
      <c r="J51" s="991"/>
      <c r="P51" s="648"/>
      <c r="Q51" s="646">
        <v>0</v>
      </c>
    </row>
    <row s="5362" customFormat="1" customHeight="1" ht="6" hidden="1">
      <c r="A52" s="898"/>
      <c r="B52" s="539"/>
      <c r="C52" s="540"/>
      <c r="D52" s="352"/>
      <c r="E52" s="350"/>
      <c r="F52" s="353"/>
      <c r="G52" s="190"/>
      <c r="H52" s="522"/>
      <c r="I52" s="524"/>
      <c r="J52" s="987"/>
      <c r="Q52" s="543">
        <v>0</v>
      </c>
    </row>
    <row s="5387" customFormat="1" customHeight="1" ht="27" hidden="1">
      <c r="A53" s="899"/>
      <c r="B53" s="526"/>
      <c r="C53" s="643"/>
      <c r="D53" s="644"/>
      <c r="E53" s="504" t="s">
        <v>62</v>
      </c>
      <c r="F53" s="1161" t="s">
        <v>19</v>
      </c>
      <c r="G53" s="645"/>
      <c r="I53" s="647"/>
      <c r="J53" s="991"/>
      <c r="P53" s="648"/>
      <c r="Q53" s="646">
        <v>0</v>
      </c>
    </row>
    <row s="5387" customFormat="1" customHeight="1" ht="27" hidden="1">
      <c r="A54" s="899"/>
      <c r="B54" s="526"/>
      <c r="C54" s="643"/>
      <c r="D54" s="644"/>
      <c r="E54" s="504" t="s">
        <v>63</v>
      </c>
      <c r="F54" s="1887"/>
      <c r="G54" s="645"/>
      <c r="I54" s="647"/>
      <c r="J54" s="991"/>
      <c r="P54" s="648"/>
      <c r="Q54" s="646">
        <v>0</v>
      </c>
    </row>
    <row s="5362" customFormat="1" customHeight="1" ht="6" hidden="1">
      <c r="A55" s="898"/>
      <c r="B55" s="539"/>
      <c r="C55" s="540"/>
      <c r="D55" s="352"/>
      <c r="E55" s="350"/>
      <c r="F55" s="353"/>
      <c r="G55" s="190"/>
      <c r="H55" s="522"/>
      <c r="I55" s="524"/>
      <c r="J55" s="987"/>
      <c r="Q55" s="543">
        <v>0</v>
      </c>
    </row>
    <row s="5387" customFormat="1" customHeight="1" ht="25.5" hidden="1">
      <c r="A56" s="899"/>
      <c r="B56" s="526"/>
      <c r="C56" s="643"/>
      <c r="D56" s="644"/>
      <c r="E56" s="504" t="s">
        <v>64</v>
      </c>
      <c r="F56" s="1161" t="s">
        <v>19</v>
      </c>
      <c r="G56" s="645"/>
      <c r="I56" s="647"/>
      <c r="J56" s="991"/>
      <c r="P56" s="648"/>
      <c r="Q56" s="646">
        <v>0</v>
      </c>
    </row>
    <row s="5362" customFormat="1" customHeight="1" ht="6" hidden="1">
      <c r="A57" s="898"/>
      <c r="B57" s="539"/>
      <c r="C57" s="540"/>
      <c r="D57" s="352"/>
      <c r="E57" s="350"/>
      <c r="F57" s="353"/>
      <c r="G57" s="190"/>
      <c r="H57" s="522"/>
      <c r="I57" s="524"/>
      <c r="J57" s="987"/>
      <c r="Q57" s="543">
        <v>0</v>
      </c>
    </row>
    <row s="5387" customFormat="1" customHeight="1" ht="15" hidden="1">
      <c r="A58" s="899"/>
      <c r="B58" s="526"/>
      <c r="C58" s="643"/>
      <c r="D58" s="644"/>
      <c r="E58" s="504" t="s">
        <v>65</v>
      </c>
      <c r="F58" s="1161" t="s">
        <v>66</v>
      </c>
      <c r="G58" s="645"/>
      <c r="I58" s="647"/>
      <c r="J58" s="991"/>
      <c r="P58" s="648"/>
      <c r="Q58" s="646">
        <v>0</v>
      </c>
    </row>
    <row s="5387"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302"/>
      <c r="G59" s="645"/>
      <c r="I59" s="647"/>
      <c r="J59" s="991"/>
      <c r="P59" s="648"/>
      <c r="Q59" s="646">
        <v>0</v>
      </c>
    </row>
    <row s="5387" customFormat="1" customHeight="1" ht="15" hidden="1">
      <c r="A60" s="899"/>
      <c r="B60" s="526"/>
      <c r="C60" s="643"/>
      <c r="D60" s="644"/>
      <c r="E60" s="1278" t="s">
        <v>67</v>
      </c>
      <c r="F60" s="1264"/>
      <c r="G60" s="645"/>
      <c r="I60" s="647"/>
      <c r="J60" s="991"/>
      <c r="P60" s="648"/>
      <c r="Q60" s="646">
        <v>0</v>
      </c>
    </row>
    <row s="5362" customFormat="1" customHeight="1" ht="6" hidden="1">
      <c r="A61" s="898"/>
      <c r="B61" s="539"/>
      <c r="C61" s="540"/>
      <c r="D61" s="541"/>
      <c r="E61" s="542"/>
      <c r="F61" s="1166"/>
      <c r="G61" s="186"/>
      <c r="H61" s="522"/>
      <c r="I61" s="524"/>
      <c r="J61" s="989"/>
      <c r="Q61" s="543">
        <v>0</v>
      </c>
    </row>
    <row s="5387" customFormat="1" customHeight="1" ht="33.75" hidden="1">
      <c r="A62" s="898"/>
      <c r="B62" s="211"/>
      <c r="C62" s="521"/>
      <c r="D62" s="523"/>
      <c r="E62" s="1278" t="s">
        <v>68</v>
      </c>
      <c r="F62" s="1784" t="s">
        <v>66</v>
      </c>
      <c r="G62" s="186"/>
      <c r="H62" s="886" t="s">
        <v>22</v>
      </c>
      <c r="I62" s="524"/>
      <c r="J62" s="989"/>
      <c r="Q62" s="522">
        <v>0</v>
      </c>
    </row>
    <row s="5362"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2898"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66A2047-1777-CD5E-95E5-78BCC7A648F7}"/>
    <hyperlink ref="H17" location="Титульный!H9" display="Как заполнить?" tooltip="Помощь по работе с полями отчётной формы" xr:uid="{0936C23C-2C42-7F51-1DCA-70612E12D651}"/>
    <hyperlink ref="H39" location="Титульный!H9" display="Как заполнить?" tooltip="Помощь по работе с полями отчётной формы" xr:uid="{E653F023-70E1-52D5-0BD1-EDDFD6650C75}"/>
    <hyperlink ref="H62" location="Титульный!H9" display="Как заполнить?" tooltip="Помощь по работе с полями отчётной формы" xr:uid="{64A79304-46BB-F5A1-F08D-013EABAE3BA7}"/>
    <hyperlink ref="F70" r:id="rId4" xr:uid="{145C78F9-6F94-FB3D-27DA-3345A9A6BFF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CB943-BDFA-A087-D458-B55E17A71DB1}" mc:Ignorable="x14ac xr xr2 xr3">
  <sheetPr>
    <tabColor rgb="FFCCCCFF"/>
    <pageSetUpPr fitToPage="1"/>
  </sheetPr>
  <dimension ref="A1:AC53"/>
  <sheetViews>
    <sheetView topLeftCell="A1" showGridLines="0" zoomScale="90" workbookViewId="0">
      <selection activeCell="G36" sqref="G36"/>
    </sheetView>
  </sheetViews>
  <sheetFormatPr defaultColWidth="9.140625" customHeight="1" defaultRowHeight="14.25"/>
  <cols>
    <col min="1" max="1" style="5387" width="8.00390625" hidden="1" customWidth="1"/>
    <col min="2" max="2" style="5467" width="6.00390625" hidden="1" customWidth="1"/>
    <col min="3" max="3" style="5387" width="3.00390625" customWidth="1"/>
    <col min="4" max="4" style="5566" width="3.00390625" customWidth="1"/>
    <col min="5" max="5" style="5387" width="6.00390625" customWidth="1"/>
    <col min="6" max="6" style="5387" width="2.7109375" hidden="1" customWidth="1"/>
    <col min="7" max="7" style="5387" width="46.7109375" customWidth="1"/>
    <col min="8" max="8" style="5387" width="42.00390625" customWidth="1"/>
    <col min="9" max="9" style="5387" width="14.00390625" customWidth="1"/>
    <col min="10" max="10" style="5567" width="3.00390625" customWidth="1"/>
    <col min="11" max="13" style="5567" width="9.140625" hidden="1"/>
    <col min="14" max="14" style="5567" width="25.7109375" hidden="1" customWidth="1"/>
    <col min="15" max="15" style="5567" width="14.421875" hidden="1" customWidth="1"/>
    <col min="16" max="19" style="5568" width="9.140625" hidden="1"/>
    <col min="20" max="27" style="5387" width="9.140625" hidden="1"/>
    <col min="28" max="28" style="5387" width="8.00390625" customWidth="1"/>
    <col min="29" max="29" style="5387" width="9.140625" hidden="1"/>
  </cols>
  <sheetData>
    <row s="5468"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477"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83" customFormat="1" customHeight="1" ht="3">
      <c r="A3" s="871"/>
      <c r="B3" s="530"/>
      <c r="C3" s="871"/>
      <c r="D3" s="277"/>
      <c r="E3" s="216"/>
      <c r="F3" s="622"/>
      <c r="G3" s="216"/>
      <c r="H3" s="216"/>
      <c r="I3" s="279"/>
      <c r="J3" s="360"/>
      <c r="K3" s="268"/>
      <c r="L3" s="268"/>
      <c r="M3" s="268"/>
      <c r="N3" s="339"/>
      <c r="O3" s="268"/>
      <c r="P3" s="338"/>
      <c r="Q3" s="338"/>
      <c r="R3" s="338"/>
      <c r="S3" s="338"/>
      <c r="AC3" s="229">
        <v>3</v>
      </c>
    </row>
    <row s="5483"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483" customFormat="1" customHeight="1" ht="3">
      <c r="A5" s="871"/>
      <c r="B5" s="530"/>
      <c r="C5" s="871"/>
      <c r="D5" s="277"/>
      <c r="E5" s="216"/>
      <c r="F5" s="622"/>
      <c r="G5" s="280"/>
      <c r="H5" s="280"/>
      <c r="I5" s="281"/>
      <c r="J5" s="268"/>
      <c r="K5" s="268"/>
      <c r="L5" s="268"/>
      <c r="M5" s="268"/>
      <c r="N5" s="339"/>
      <c r="O5" s="268"/>
      <c r="P5" s="338"/>
      <c r="Q5" s="338"/>
      <c r="R5" s="338"/>
      <c r="S5" s="338"/>
      <c r="AC5" s="229">
        <v>3</v>
      </c>
    </row>
    <row s="5483"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83"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483"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483"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483"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28"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Хасанский муниципальный округ(05548000)</v>
      </c>
      <c r="P13" s="530"/>
      <c r="Q13" s="530"/>
      <c r="R13" s="533"/>
      <c r="S13" s="530"/>
      <c r="T13" s="530"/>
      <c r="U13" s="530"/>
      <c r="V13" s="535"/>
      <c r="W13" s="535"/>
      <c r="X13" s="532"/>
      <c r="Y13" s="532"/>
      <c r="Z13" s="532"/>
      <c r="AA13" s="532"/>
      <c r="AB13" s="532"/>
      <c r="AC13" s="536">
        <v>15</v>
      </c>
    </row>
    <row s="5528"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customHeight="1" ht="15">
      <c r="A15" s="2330" t="s">
        <v>103</v>
      </c>
      <c r="B15" s="1273"/>
      <c r="C15" s="914" t="s">
        <v>104</v>
      </c>
      <c r="D15" s="1931"/>
      <c r="E15" s="1918" t="str">
        <f>A15</f>
        <v>2</v>
      </c>
      <c r="F15" s="917" t="s">
        <v>105</v>
      </c>
      <c r="G15" s="653" t="str">
        <f>"Территория "&amp;E15</f>
        <v>Территория 2</v>
      </c>
      <c r="H15" s="905"/>
      <c r="I15" s="905"/>
      <c r="J15" s="902"/>
      <c r="K15" s="1737"/>
      <c r="L15" s="1737"/>
      <c r="M15" s="1737"/>
      <c r="N15" s="339"/>
      <c r="O15" s="1737"/>
      <c r="P15" s="338"/>
      <c r="Q15" s="338"/>
      <c r="R15" s="338"/>
      <c r="S15" s="338"/>
      <c r="T15" s="2992"/>
      <c r="U15" s="2992"/>
      <c r="V15" s="2992"/>
      <c r="W15" s="2992"/>
      <c r="X15" s="2992"/>
      <c r="Y15" s="2992"/>
      <c r="Z15" s="2992"/>
      <c r="AA15" s="2992"/>
      <c r="AB15" s="2992"/>
      <c r="AC15" s="2992"/>
    </row>
    <row customHeight="1" ht="15">
      <c r="A16" s="2330"/>
      <c r="B16" s="1273">
        <v>1</v>
      </c>
      <c r="C16" s="1273"/>
      <c r="D16" s="913"/>
      <c r="E16" s="1926" t="str">
        <f>A15&amp;"."&amp;B16</f>
        <v>2.1</v>
      </c>
      <c r="F16" s="916" t="s">
        <v>106</v>
      </c>
      <c r="G16" s="906" t="s">
        <v>107</v>
      </c>
      <c r="H16" s="906" t="s">
        <v>107</v>
      </c>
      <c r="I16" s="904" t="s">
        <v>108</v>
      </c>
      <c r="J16" s="1737"/>
      <c r="K16" s="1749"/>
      <c r="L16" s="1749"/>
      <c r="M16" s="1737" t="str">
        <f t="array" ref="M16:M16">IF(ISERROR(MATCH(MID(N16,1,250),MID(note_ter,1,250),0)),"n","y")</f>
        <v>n</v>
      </c>
      <c r="N16" s="1749"/>
      <c r="O16" s="1737" t="str">
        <f>H16&amp;"("&amp;I16&amp;")"</f>
        <v>Шкотовский муниципальный округ(05557000)</v>
      </c>
      <c r="P16" s="1273"/>
      <c r="Q16" s="1273"/>
      <c r="R16" s="533"/>
      <c r="S16" s="1273"/>
      <c r="T16" s="1273"/>
      <c r="U16" s="1273"/>
      <c r="V16" s="535"/>
      <c r="W16" s="535"/>
      <c r="X16" s="532"/>
      <c r="Y16" s="532"/>
      <c r="Z16" s="532"/>
      <c r="AA16" s="532"/>
      <c r="AB16" s="532"/>
      <c r="AC16" s="532"/>
    </row>
    <row customHeight="1" ht="15">
      <c r="A17" s="2330"/>
      <c r="B17" s="1273"/>
      <c r="C17" s="525"/>
      <c r="D17" s="914"/>
      <c r="E17" s="534"/>
      <c r="F17" s="290"/>
      <c r="G17" s="528" t="s">
        <v>102</v>
      </c>
      <c r="H17" s="300"/>
      <c r="I17" s="537"/>
      <c r="J17" s="1749"/>
      <c r="K17" s="1749"/>
      <c r="L17" s="1749"/>
      <c r="M17" s="1749"/>
      <c r="N17" s="1737"/>
      <c r="O17" s="1749"/>
      <c r="P17" s="1273"/>
      <c r="Q17" s="1273"/>
      <c r="R17" s="533"/>
      <c r="S17" s="1273"/>
      <c r="T17" s="1273"/>
      <c r="U17" s="1273"/>
      <c r="V17" s="535"/>
      <c r="W17" s="535"/>
      <c r="X17" s="532"/>
      <c r="Y17" s="532"/>
      <c r="Z17" s="532"/>
      <c r="AA17" s="532"/>
      <c r="AB17" s="532"/>
      <c r="AC17" s="532"/>
    </row>
    <row customHeight="1" ht="15">
      <c r="A18" s="2330" t="s">
        <v>90</v>
      </c>
      <c r="B18" s="1273"/>
      <c r="C18" s="914" t="s">
        <v>104</v>
      </c>
      <c r="D18" s="1931"/>
      <c r="E18" s="1918" t="str">
        <f>A18</f>
        <v>3</v>
      </c>
      <c r="F18" s="917" t="s">
        <v>109</v>
      </c>
      <c r="G18" s="653" t="str">
        <f>"Территория "&amp;E18</f>
        <v>Территория 3</v>
      </c>
      <c r="H18" s="905"/>
      <c r="I18" s="905"/>
      <c r="J18" s="902"/>
      <c r="K18" s="1737"/>
      <c r="L18" s="1737"/>
      <c r="M18" s="1737"/>
      <c r="N18" s="339"/>
      <c r="O18" s="1737"/>
      <c r="P18" s="338"/>
      <c r="Q18" s="338"/>
      <c r="R18" s="338"/>
      <c r="S18" s="338"/>
      <c r="T18" s="2992"/>
      <c r="U18" s="2992"/>
      <c r="V18" s="2992"/>
      <c r="W18" s="2992"/>
      <c r="X18" s="2992"/>
      <c r="Y18" s="2992"/>
      <c r="Z18" s="2992"/>
      <c r="AA18" s="2992"/>
      <c r="AB18" s="2992"/>
      <c r="AC18" s="2992"/>
    </row>
    <row customHeight="1" ht="15">
      <c r="A19" s="2330"/>
      <c r="B19" s="1273">
        <v>1</v>
      </c>
      <c r="C19" s="1273"/>
      <c r="D19" s="913"/>
      <c r="E19" s="1926" t="str">
        <f>A18&amp;"."&amp;B19</f>
        <v>3.1</v>
      </c>
      <c r="F19" s="916" t="s">
        <v>110</v>
      </c>
      <c r="G19" s="906" t="s">
        <v>111</v>
      </c>
      <c r="H19" s="906" t="s">
        <v>111</v>
      </c>
      <c r="I19" s="904" t="s">
        <v>112</v>
      </c>
      <c r="J19" s="1737"/>
      <c r="K19" s="1749"/>
      <c r="L19" s="1749"/>
      <c r="M19" s="1737" t="str">
        <f t="array" ref="M19:M19">IF(ISERROR(MATCH(MID(N19,1,250),MID(note_ter,1,250),0)),"n","y")</f>
        <v>n</v>
      </c>
      <c r="N19" s="1749"/>
      <c r="O19" s="1737" t="str">
        <f>H19&amp;"("&amp;I19&amp;")"</f>
        <v>Кавалеровский муниципальный округ(05510000)</v>
      </c>
      <c r="P19" s="1273"/>
      <c r="Q19" s="1273"/>
      <c r="R19" s="533"/>
      <c r="S19" s="1273"/>
      <c r="T19" s="1273"/>
      <c r="U19" s="1273"/>
      <c r="V19" s="535"/>
      <c r="W19" s="535"/>
      <c r="X19" s="532"/>
      <c r="Y19" s="532"/>
      <c r="Z19" s="532"/>
      <c r="AA19" s="532"/>
      <c r="AB19" s="532"/>
      <c r="AC19" s="532"/>
    </row>
    <row customHeight="1" ht="15">
      <c r="A20" s="2330"/>
      <c r="B20" s="1273"/>
      <c r="C20" s="525"/>
      <c r="D20" s="914"/>
      <c r="E20" s="534"/>
      <c r="F20" s="290"/>
      <c r="G20" s="528" t="s">
        <v>102</v>
      </c>
      <c r="H20" s="300"/>
      <c r="I20" s="537"/>
      <c r="J20" s="1749"/>
      <c r="K20" s="1749"/>
      <c r="L20" s="1749"/>
      <c r="M20" s="1749"/>
      <c r="N20" s="1737"/>
      <c r="O20" s="1749"/>
      <c r="P20" s="1273"/>
      <c r="Q20" s="1273"/>
      <c r="R20" s="533"/>
      <c r="S20" s="1273"/>
      <c r="T20" s="1273"/>
      <c r="U20" s="1273"/>
      <c r="V20" s="535"/>
      <c r="W20" s="535"/>
      <c r="X20" s="532"/>
      <c r="Y20" s="532"/>
      <c r="Z20" s="532"/>
      <c r="AA20" s="532"/>
      <c r="AB20" s="532"/>
      <c r="AC20" s="532"/>
    </row>
    <row customHeight="1" ht="15">
      <c r="A21" s="2330" t="s">
        <v>91</v>
      </c>
      <c r="B21" s="1273"/>
      <c r="C21" s="914" t="s">
        <v>104</v>
      </c>
      <c r="D21" s="1931"/>
      <c r="E21" s="1918" t="str">
        <f>A21</f>
        <v>4</v>
      </c>
      <c r="F21" s="917" t="s">
        <v>113</v>
      </c>
      <c r="G21" s="653" t="str">
        <f>"Территория "&amp;E21</f>
        <v>Территория 4</v>
      </c>
      <c r="H21" s="905"/>
      <c r="I21" s="905"/>
      <c r="J21" s="902"/>
      <c r="K21" s="1737"/>
      <c r="L21" s="1737"/>
      <c r="M21" s="1737"/>
      <c r="N21" s="339"/>
      <c r="O21" s="1737"/>
      <c r="P21" s="338"/>
      <c r="Q21" s="338"/>
      <c r="R21" s="338"/>
      <c r="S21" s="338"/>
      <c r="T21" s="2992"/>
      <c r="U21" s="2992"/>
      <c r="V21" s="2992"/>
      <c r="W21" s="2992"/>
      <c r="X21" s="2992"/>
      <c r="Y21" s="2992"/>
      <c r="Z21" s="2992"/>
      <c r="AA21" s="2992"/>
      <c r="AB21" s="2992"/>
      <c r="AC21" s="2992"/>
    </row>
    <row customHeight="1" ht="15">
      <c r="A22" s="2330"/>
      <c r="B22" s="1273">
        <v>1</v>
      </c>
      <c r="C22" s="1273"/>
      <c r="D22" s="913"/>
      <c r="E22" s="1926" t="str">
        <f>A21&amp;"."&amp;B22</f>
        <v>4.1</v>
      </c>
      <c r="F22" s="916" t="s">
        <v>92</v>
      </c>
      <c r="G22" s="906" t="s">
        <v>114</v>
      </c>
      <c r="H22" s="906" t="s">
        <v>114</v>
      </c>
      <c r="I22" s="904" t="s">
        <v>115</v>
      </c>
      <c r="J22" s="1737"/>
      <c r="K22" s="1749"/>
      <c r="L22" s="1749"/>
      <c r="M22" s="1737" t="str">
        <f t="array" ref="M22:M22">IF(ISERROR(MATCH(MID(N22,1,250),MID(note_ter,1,250),0)),"n","y")</f>
        <v>n</v>
      </c>
      <c r="N22" s="1749"/>
      <c r="O22" s="1737" t="str">
        <f>H22&amp;"("&amp;I22&amp;")"</f>
        <v>Дальнегорский городской округ(05707000)</v>
      </c>
      <c r="P22" s="1273"/>
      <c r="Q22" s="1273"/>
      <c r="R22" s="533"/>
      <c r="S22" s="1273"/>
      <c r="T22" s="1273"/>
      <c r="U22" s="1273"/>
      <c r="V22" s="535"/>
      <c r="W22" s="535"/>
      <c r="X22" s="532"/>
      <c r="Y22" s="532"/>
      <c r="Z22" s="532"/>
      <c r="AA22" s="532"/>
      <c r="AB22" s="532"/>
      <c r="AC22" s="532"/>
    </row>
    <row customHeight="1" ht="15">
      <c r="A23" s="2330"/>
      <c r="B23" s="1273"/>
      <c r="C23" s="525"/>
      <c r="D23" s="914"/>
      <c r="E23" s="534"/>
      <c r="F23" s="290"/>
      <c r="G23" s="528" t="s">
        <v>102</v>
      </c>
      <c r="H23" s="300"/>
      <c r="I23" s="537"/>
      <c r="J23" s="1749"/>
      <c r="K23" s="1749"/>
      <c r="L23" s="1749"/>
      <c r="M23" s="1749"/>
      <c r="N23" s="1737"/>
      <c r="O23" s="1749"/>
      <c r="P23" s="1273"/>
      <c r="Q23" s="1273"/>
      <c r="R23" s="533"/>
      <c r="S23" s="1273"/>
      <c r="T23" s="1273"/>
      <c r="U23" s="1273"/>
      <c r="V23" s="535"/>
      <c r="W23" s="535"/>
      <c r="X23" s="532"/>
      <c r="Y23" s="532"/>
      <c r="Z23" s="532"/>
      <c r="AA23" s="532"/>
      <c r="AB23" s="532"/>
      <c r="AC23" s="532"/>
    </row>
    <row customHeight="1" ht="15">
      <c r="A24" s="2330" t="s">
        <v>116</v>
      </c>
      <c r="B24" s="1273"/>
      <c r="C24" s="914" t="s">
        <v>104</v>
      </c>
      <c r="D24" s="1931"/>
      <c r="E24" s="1918" t="str">
        <f>A24</f>
        <v>5</v>
      </c>
      <c r="F24" s="917" t="s">
        <v>117</v>
      </c>
      <c r="G24" s="653" t="str">
        <f>"Территория "&amp;E24</f>
        <v>Территория 5</v>
      </c>
      <c r="H24" s="905"/>
      <c r="I24" s="905"/>
      <c r="J24" s="902"/>
      <c r="K24" s="1737"/>
      <c r="L24" s="1737"/>
      <c r="M24" s="1737"/>
      <c r="N24" s="339"/>
      <c r="O24" s="1737"/>
      <c r="P24" s="338"/>
      <c r="Q24" s="338"/>
      <c r="R24" s="338"/>
      <c r="S24" s="338"/>
      <c r="T24" s="2992"/>
      <c r="U24" s="2992"/>
      <c r="V24" s="2992"/>
      <c r="W24" s="2992"/>
      <c r="X24" s="2992"/>
      <c r="Y24" s="2992"/>
      <c r="Z24" s="2992"/>
      <c r="AA24" s="2992"/>
      <c r="AB24" s="2992"/>
      <c r="AC24" s="2992"/>
    </row>
    <row customHeight="1" ht="15">
      <c r="A25" s="2330"/>
      <c r="B25" s="1273">
        <v>1</v>
      </c>
      <c r="C25" s="1273"/>
      <c r="D25" s="913"/>
      <c r="E25" s="1926" t="str">
        <f>A24&amp;"."&amp;B25</f>
        <v>5.1</v>
      </c>
      <c r="F25" s="916" t="s">
        <v>118</v>
      </c>
      <c r="G25" s="906" t="s">
        <v>119</v>
      </c>
      <c r="H25" s="906" t="s">
        <v>120</v>
      </c>
      <c r="I25" s="904" t="s">
        <v>121</v>
      </c>
      <c r="J25" s="1737"/>
      <c r="K25" s="1749"/>
      <c r="L25" s="1749"/>
      <c r="M25" s="1737" t="str">
        <f t="array" ref="M25:M25">IF(ISERROR(MATCH(MID(N25,1,250),MID(note_ter,1,250),0)),"n","y")</f>
        <v>n</v>
      </c>
      <c r="N25" s="1749"/>
      <c r="O25" s="1737" t="str">
        <f>H25&amp;"("&amp;I25&amp;")"</f>
        <v>Новошахтинское городское поселение(05620154)</v>
      </c>
      <c r="P25" s="1273"/>
      <c r="Q25" s="1273"/>
      <c r="R25" s="533"/>
      <c r="S25" s="1273"/>
      <c r="T25" s="1273"/>
      <c r="U25" s="1273"/>
      <c r="V25" s="535"/>
      <c r="W25" s="535"/>
      <c r="X25" s="532"/>
      <c r="Y25" s="532"/>
      <c r="Z25" s="532"/>
      <c r="AA25" s="532"/>
      <c r="AB25" s="532"/>
      <c r="AC25" s="532"/>
    </row>
    <row customHeight="1" ht="15">
      <c r="A26" s="2330"/>
      <c r="B26" s="1273"/>
      <c r="C26" s="525"/>
      <c r="D26" s="914"/>
      <c r="E26" s="534"/>
      <c r="F26" s="290"/>
      <c r="G26" s="528" t="s">
        <v>102</v>
      </c>
      <c r="H26" s="300"/>
      <c r="I26" s="537"/>
      <c r="J26" s="1749"/>
      <c r="K26" s="1749"/>
      <c r="L26" s="1749"/>
      <c r="M26" s="1749"/>
      <c r="N26" s="1737"/>
      <c r="O26" s="1749"/>
      <c r="P26" s="1273"/>
      <c r="Q26" s="1273"/>
      <c r="R26" s="533"/>
      <c r="S26" s="1273"/>
      <c r="T26" s="1273"/>
      <c r="U26" s="1273"/>
      <c r="V26" s="535"/>
      <c r="W26" s="535"/>
      <c r="X26" s="532"/>
      <c r="Y26" s="532"/>
      <c r="Z26" s="532"/>
      <c r="AA26" s="532"/>
      <c r="AB26" s="532"/>
      <c r="AC26" s="532"/>
    </row>
    <row customHeight="1" ht="15">
      <c r="A27" s="2330" t="s">
        <v>92</v>
      </c>
      <c r="B27" s="1273"/>
      <c r="C27" s="914" t="s">
        <v>104</v>
      </c>
      <c r="D27" s="1931"/>
      <c r="E27" s="1918" t="str">
        <f>A27</f>
        <v>6</v>
      </c>
      <c r="F27" s="917" t="s">
        <v>122</v>
      </c>
      <c r="G27" s="653" t="str">
        <f>"Территория "&amp;E27</f>
        <v>Территория 6</v>
      </c>
      <c r="H27" s="905"/>
      <c r="I27" s="905"/>
      <c r="J27" s="902"/>
      <c r="K27" s="1737"/>
      <c r="L27" s="1737"/>
      <c r="M27" s="1737"/>
      <c r="N27" s="339"/>
      <c r="O27" s="1737"/>
      <c r="P27" s="338"/>
      <c r="Q27" s="338"/>
      <c r="R27" s="338"/>
      <c r="S27" s="338"/>
      <c r="T27" s="2992"/>
      <c r="U27" s="2992"/>
      <c r="V27" s="2992"/>
      <c r="W27" s="2992"/>
      <c r="X27" s="2992"/>
      <c r="Y27" s="2992"/>
      <c r="Z27" s="2992"/>
      <c r="AA27" s="2992"/>
      <c r="AB27" s="2992"/>
      <c r="AC27" s="2992"/>
    </row>
    <row customHeight="1" ht="15">
      <c r="A28" s="2330"/>
      <c r="B28" s="1273">
        <v>1</v>
      </c>
      <c r="C28" s="1273"/>
      <c r="D28" s="913"/>
      <c r="E28" s="1926" t="str">
        <f>A27&amp;"."&amp;B28</f>
        <v>6.1</v>
      </c>
      <c r="F28" s="916" t="s">
        <v>123</v>
      </c>
      <c r="G28" s="906" t="s">
        <v>124</v>
      </c>
      <c r="H28" s="906" t="s">
        <v>124</v>
      </c>
      <c r="I28" s="904" t="s">
        <v>125</v>
      </c>
      <c r="J28" s="1737"/>
      <c r="K28" s="1749"/>
      <c r="L28" s="1749"/>
      <c r="M28" s="1737" t="str">
        <f t="array" ref="M28:M28">IF(ISERROR(MATCH(MID(N28,1,250),MID(note_ter,1,250),0)),"n","y")</f>
        <v>n</v>
      </c>
      <c r="N28" s="1749"/>
      <c r="O28" s="1737" t="str">
        <f>H28&amp;"("&amp;I28&amp;")"</f>
        <v>городской округ ЗАТО Фокино(05747000)</v>
      </c>
      <c r="P28" s="1273"/>
      <c r="Q28" s="1273"/>
      <c r="R28" s="533"/>
      <c r="S28" s="1273"/>
      <c r="T28" s="1273"/>
      <c r="U28" s="1273"/>
      <c r="V28" s="535"/>
      <c r="W28" s="535"/>
      <c r="X28" s="532"/>
      <c r="Y28" s="532"/>
      <c r="Z28" s="532"/>
      <c r="AA28" s="532"/>
      <c r="AB28" s="532"/>
      <c r="AC28" s="532"/>
    </row>
    <row customHeight="1" ht="15">
      <c r="A29" s="2330"/>
      <c r="B29" s="1273"/>
      <c r="C29" s="525"/>
      <c r="D29" s="914"/>
      <c r="E29" s="534"/>
      <c r="F29" s="290"/>
      <c r="G29" s="528" t="s">
        <v>102</v>
      </c>
      <c r="H29" s="300"/>
      <c r="I29" s="537"/>
      <c r="J29" s="1749"/>
      <c r="K29" s="1749"/>
      <c r="L29" s="1749"/>
      <c r="M29" s="1749"/>
      <c r="N29" s="1737"/>
      <c r="O29" s="1749"/>
      <c r="P29" s="1273"/>
      <c r="Q29" s="1273"/>
      <c r="R29" s="533"/>
      <c r="S29" s="1273"/>
      <c r="T29" s="1273"/>
      <c r="U29" s="1273"/>
      <c r="V29" s="535"/>
      <c r="W29" s="535"/>
      <c r="X29" s="532"/>
      <c r="Y29" s="532"/>
      <c r="Z29" s="532"/>
      <c r="AA29" s="532"/>
      <c r="AB29" s="532"/>
      <c r="AC29" s="532"/>
    </row>
    <row customHeight="1" ht="15">
      <c r="A30" s="2330" t="s">
        <v>93</v>
      </c>
      <c r="B30" s="1273"/>
      <c r="C30" s="914" t="s">
        <v>104</v>
      </c>
      <c r="D30" s="1931"/>
      <c r="E30" s="1918" t="str">
        <f>A30</f>
        <v>7</v>
      </c>
      <c r="F30" s="917" t="s">
        <v>126</v>
      </c>
      <c r="G30" s="653" t="str">
        <f>"Территория "&amp;E30</f>
        <v>Территория 7</v>
      </c>
      <c r="H30" s="905"/>
      <c r="I30" s="905"/>
      <c r="J30" s="902"/>
      <c r="K30" s="1737"/>
      <c r="L30" s="1737"/>
      <c r="M30" s="1737"/>
      <c r="N30" s="339"/>
      <c r="O30" s="1737"/>
      <c r="P30" s="338"/>
      <c r="Q30" s="338"/>
      <c r="R30" s="338"/>
      <c r="S30" s="338"/>
      <c r="T30" s="2992"/>
      <c r="U30" s="2992"/>
      <c r="V30" s="2992"/>
      <c r="W30" s="2992"/>
      <c r="X30" s="2992"/>
      <c r="Y30" s="2992"/>
      <c r="Z30" s="2992"/>
      <c r="AA30" s="2992"/>
      <c r="AB30" s="2992"/>
      <c r="AC30" s="2992"/>
    </row>
    <row customHeight="1" ht="15">
      <c r="A31" s="2330"/>
      <c r="B31" s="1273">
        <v>1</v>
      </c>
      <c r="C31" s="1273"/>
      <c r="D31" s="913"/>
      <c r="E31" s="1926" t="str">
        <f>A30&amp;"."&amp;B31</f>
        <v>7.1</v>
      </c>
      <c r="F31" s="916" t="s">
        <v>116</v>
      </c>
      <c r="G31" s="906" t="s">
        <v>127</v>
      </c>
      <c r="H31" s="906" t="s">
        <v>127</v>
      </c>
      <c r="I31" s="904" t="s">
        <v>128</v>
      </c>
      <c r="J31" s="1737"/>
      <c r="K31" s="1749"/>
      <c r="L31" s="1749"/>
      <c r="M31" s="1737" t="str">
        <f t="array" ref="M31:M31">IF(ISERROR(MATCH(MID(N31,1,250),MID(note_ter,1,250),0)),"n","y")</f>
        <v>n</v>
      </c>
      <c r="N31" s="1749"/>
      <c r="O31" s="1737" t="str">
        <f>H31&amp;"("&amp;I31&amp;")"</f>
        <v>Городской округ Спасск-Дальний(05720000)</v>
      </c>
      <c r="P31" s="1273"/>
      <c r="Q31" s="1273"/>
      <c r="R31" s="533"/>
      <c r="S31" s="1273"/>
      <c r="T31" s="1273"/>
      <c r="U31" s="1273"/>
      <c r="V31" s="535"/>
      <c r="W31" s="535"/>
      <c r="X31" s="532"/>
      <c r="Y31" s="532"/>
      <c r="Z31" s="532"/>
      <c r="AA31" s="532"/>
      <c r="AB31" s="532"/>
      <c r="AC31" s="532"/>
    </row>
    <row customHeight="1" ht="15">
      <c r="A32" s="2330"/>
      <c r="B32" s="1273"/>
      <c r="C32" s="525"/>
      <c r="D32" s="914"/>
      <c r="E32" s="534"/>
      <c r="F32" s="290"/>
      <c r="G32" s="528" t="s">
        <v>102</v>
      </c>
      <c r="H32" s="300"/>
      <c r="I32" s="537"/>
      <c r="J32" s="1749"/>
      <c r="K32" s="1749"/>
      <c r="L32" s="1749"/>
      <c r="M32" s="1749"/>
      <c r="N32" s="1737"/>
      <c r="O32" s="1749"/>
      <c r="P32" s="1273"/>
      <c r="Q32" s="1273"/>
      <c r="R32" s="533"/>
      <c r="S32" s="1273"/>
      <c r="T32" s="1273"/>
      <c r="U32" s="1273"/>
      <c r="V32" s="535"/>
      <c r="W32" s="535"/>
      <c r="X32" s="532"/>
      <c r="Y32" s="532"/>
      <c r="Z32" s="532"/>
      <c r="AA32" s="532"/>
      <c r="AB32" s="532"/>
      <c r="AC32" s="532"/>
    </row>
    <row customHeight="1" ht="15">
      <c r="A33" s="2330" t="s">
        <v>129</v>
      </c>
      <c r="B33" s="1273"/>
      <c r="C33" s="914" t="s">
        <v>104</v>
      </c>
      <c r="D33" s="1931"/>
      <c r="E33" s="1918" t="str">
        <f>A33</f>
        <v>8</v>
      </c>
      <c r="F33" s="917" t="s">
        <v>130</v>
      </c>
      <c r="G33" s="653" t="str">
        <f>"Территория "&amp;E33</f>
        <v>Территория 8</v>
      </c>
      <c r="H33" s="905"/>
      <c r="I33" s="905"/>
      <c r="J33" s="902"/>
      <c r="K33" s="1737"/>
      <c r="L33" s="1737"/>
      <c r="M33" s="1737"/>
      <c r="N33" s="339"/>
      <c r="O33" s="1737"/>
      <c r="P33" s="338"/>
      <c r="Q33" s="338"/>
      <c r="R33" s="338"/>
      <c r="S33" s="338"/>
      <c r="T33" s="2992"/>
      <c r="U33" s="2992"/>
      <c r="V33" s="2992"/>
      <c r="W33" s="2992"/>
      <c r="X33" s="2992"/>
      <c r="Y33" s="2992"/>
      <c r="Z33" s="2992"/>
      <c r="AA33" s="2992"/>
      <c r="AB33" s="2992"/>
      <c r="AC33" s="2992"/>
    </row>
    <row customHeight="1" ht="15">
      <c r="A34" s="2330"/>
      <c r="B34" s="1273">
        <v>1</v>
      </c>
      <c r="C34" s="1273"/>
      <c r="D34" s="913"/>
      <c r="E34" s="1926" t="str">
        <f>A33&amp;"."&amp;B34</f>
        <v>8.1</v>
      </c>
      <c r="F34" s="916" t="s">
        <v>131</v>
      </c>
      <c r="G34" s="906" t="s">
        <v>132</v>
      </c>
      <c r="H34" s="906" t="s">
        <v>132</v>
      </c>
      <c r="I34" s="904" t="s">
        <v>133</v>
      </c>
      <c r="J34" s="1737"/>
      <c r="K34" s="1749"/>
      <c r="L34" s="1749"/>
      <c r="M34" s="1737" t="str">
        <f t="array" ref="M34:M34">IF(ISERROR(MATCH(MID(N34,1,250),MID(note_ter,1,250),0)),"n","y")</f>
        <v>n</v>
      </c>
      <c r="N34" s="1749"/>
      <c r="O34" s="1737" t="str">
        <f>H34&amp;"("&amp;I34&amp;")"</f>
        <v>Черниговский муниципальный округ(05553000)</v>
      </c>
      <c r="P34" s="1273"/>
      <c r="Q34" s="1273"/>
      <c r="R34" s="533"/>
      <c r="S34" s="1273"/>
      <c r="T34" s="1273"/>
      <c r="U34" s="1273"/>
      <c r="V34" s="535"/>
      <c r="W34" s="535"/>
      <c r="X34" s="532"/>
      <c r="Y34" s="532"/>
      <c r="Z34" s="532"/>
      <c r="AA34" s="532"/>
      <c r="AB34" s="532"/>
      <c r="AC34" s="532"/>
    </row>
    <row customHeight="1" ht="15">
      <c r="A35" s="2330"/>
      <c r="B35" s="1273"/>
      <c r="C35" s="525"/>
      <c r="D35" s="914"/>
      <c r="E35" s="534"/>
      <c r="F35" s="290"/>
      <c r="G35" s="528" t="s">
        <v>102</v>
      </c>
      <c r="H35" s="300"/>
      <c r="I35" s="537"/>
      <c r="J35" s="1749"/>
      <c r="K35" s="1749"/>
      <c r="L35" s="1749"/>
      <c r="M35" s="1749"/>
      <c r="N35" s="1737"/>
      <c r="O35" s="1749"/>
      <c r="P35" s="1273"/>
      <c r="Q35" s="1273"/>
      <c r="R35" s="533"/>
      <c r="S35" s="1273"/>
      <c r="T35" s="1273"/>
      <c r="U35" s="1273"/>
      <c r="V35" s="535"/>
      <c r="W35" s="535"/>
      <c r="X35" s="532"/>
      <c r="Y35" s="532"/>
      <c r="Z35" s="532"/>
      <c r="AA35" s="532"/>
      <c r="AB35" s="532"/>
      <c r="AC35" s="532"/>
    </row>
    <row customHeight="1" ht="15">
      <c r="A36" s="2330" t="s">
        <v>134</v>
      </c>
      <c r="B36" s="1273"/>
      <c r="C36" s="914" t="s">
        <v>104</v>
      </c>
      <c r="D36" s="1931"/>
      <c r="E36" s="1918" t="str">
        <f>A36</f>
        <v>9</v>
      </c>
      <c r="F36" s="917" t="s">
        <v>135</v>
      </c>
      <c r="G36" s="653" t="str">
        <f>"Территория "&amp;E36</f>
        <v>Территория 9</v>
      </c>
      <c r="H36" s="905"/>
      <c r="I36" s="905"/>
      <c r="J36" s="902"/>
      <c r="K36" s="1737"/>
      <c r="L36" s="1737"/>
      <c r="M36" s="1737"/>
      <c r="N36" s="339"/>
      <c r="O36" s="1737"/>
      <c r="P36" s="338"/>
      <c r="Q36" s="338"/>
      <c r="R36" s="338"/>
      <c r="S36" s="338"/>
      <c r="T36" s="2992"/>
      <c r="U36" s="2992"/>
      <c r="V36" s="2992"/>
      <c r="W36" s="2992"/>
      <c r="X36" s="2992"/>
      <c r="Y36" s="2992"/>
      <c r="Z36" s="2992"/>
      <c r="AA36" s="2992"/>
      <c r="AB36" s="2992"/>
      <c r="AC36" s="2992"/>
    </row>
    <row customHeight="1" ht="15">
      <c r="A37" s="2330"/>
      <c r="B37" s="1273">
        <v>1</v>
      </c>
      <c r="C37" s="1273"/>
      <c r="D37" s="913"/>
      <c r="E37" s="1926" t="str">
        <f>A36&amp;"."&amp;B37</f>
        <v>9.1</v>
      </c>
      <c r="F37" s="916" t="s">
        <v>136</v>
      </c>
      <c r="G37" s="906" t="s">
        <v>137</v>
      </c>
      <c r="H37" s="906" t="s">
        <v>137</v>
      </c>
      <c r="I37" s="904" t="s">
        <v>138</v>
      </c>
      <c r="J37" s="1737"/>
      <c r="K37" s="1749"/>
      <c r="L37" s="1749"/>
      <c r="M37" s="1737" t="str">
        <f t="array" ref="M37:M37">IF(ISERROR(MATCH(MID(N37,1,250),MID(note_ter,1,250),0)),"n","y")</f>
        <v>n</v>
      </c>
      <c r="N37" s="1749"/>
      <c r="O37" s="1737" t="str">
        <f>H37&amp;"("&amp;I37&amp;")"</f>
        <v>Анучинский муниципальный округ(05502000)</v>
      </c>
      <c r="P37" s="1273"/>
      <c r="Q37" s="1273"/>
      <c r="R37" s="533"/>
      <c r="S37" s="1273"/>
      <c r="T37" s="1273"/>
      <c r="U37" s="1273"/>
      <c r="V37" s="535"/>
      <c r="W37" s="535"/>
      <c r="X37" s="532"/>
      <c r="Y37" s="532"/>
      <c r="Z37" s="532"/>
      <c r="AA37" s="532"/>
      <c r="AB37" s="532"/>
      <c r="AC37" s="532"/>
    </row>
    <row customHeight="1" ht="15">
      <c r="A38" s="2330"/>
      <c r="B38" s="1273"/>
      <c r="C38" s="525"/>
      <c r="D38" s="914"/>
      <c r="E38" s="534"/>
      <c r="F38" s="290"/>
      <c r="G38" s="528" t="s">
        <v>102</v>
      </c>
      <c r="H38" s="300"/>
      <c r="I38" s="537"/>
      <c r="J38" s="1749"/>
      <c r="K38" s="1749"/>
      <c r="L38" s="1749"/>
      <c r="M38" s="1749"/>
      <c r="N38" s="1737"/>
      <c r="O38" s="1749"/>
      <c r="P38" s="1273"/>
      <c r="Q38" s="1273"/>
      <c r="R38" s="533"/>
      <c r="S38" s="1273"/>
      <c r="T38" s="1273"/>
      <c r="U38" s="1273"/>
      <c r="V38" s="535"/>
      <c r="W38" s="535"/>
      <c r="X38" s="532"/>
      <c r="Y38" s="532"/>
      <c r="Z38" s="532"/>
      <c r="AA38" s="532"/>
      <c r="AB38" s="532"/>
      <c r="AC38" s="532"/>
    </row>
    <row s="5483" customFormat="1" customHeight="1" ht="14.699999999999998">
      <c r="A39" s="871"/>
      <c r="B39" s="530"/>
      <c r="C39" s="871"/>
      <c r="D39" s="895"/>
      <c r="E39" s="907"/>
      <c r="F39" s="291"/>
      <c r="G39" s="529" t="s">
        <v>139</v>
      </c>
      <c r="H39" s="291"/>
      <c r="I39" s="292"/>
      <c r="J39" s="362"/>
      <c r="K39" s="268"/>
      <c r="L39" s="268"/>
      <c r="M39" s="268"/>
      <c r="N39" s="339" t="s">
        <v>140</v>
      </c>
      <c r="O39" s="268"/>
      <c r="P39" s="338"/>
      <c r="Q39" s="338"/>
      <c r="R39" s="338"/>
      <c r="S39" s="338"/>
      <c r="AC39" s="229">
        <v>14</v>
      </c>
    </row>
    <row s="5483" customFormat="1" customHeight="1" ht="22.049999999999997">
      <c r="A40" s="871"/>
      <c r="B40" s="530"/>
      <c r="C40" s="871"/>
      <c r="D40" s="278"/>
      <c r="E40" s="293"/>
      <c r="F40" s="293"/>
      <c r="G40" s="293"/>
      <c r="H40" s="293"/>
      <c r="I40" s="293"/>
      <c r="J40" s="268"/>
      <c r="K40" s="268"/>
      <c r="L40" s="268"/>
      <c r="M40" s="268"/>
      <c r="N40" s="339"/>
      <c r="O40" s="268"/>
      <c r="P40" s="338"/>
      <c r="Q40" s="338"/>
      <c r="R40" s="338"/>
      <c r="S40" s="338"/>
      <c r="AC40" s="229">
        <v>21</v>
      </c>
    </row>
    <row s="5483" customFormat="1" customHeight="1" ht="14.699999999999998">
      <c r="A41" s="871"/>
      <c r="B41" s="530"/>
      <c r="C41" s="871"/>
      <c r="D41" s="278"/>
      <c r="E41" s="196"/>
      <c r="F41" s="871"/>
      <c r="G41" s="196"/>
      <c r="H41" s="196"/>
      <c r="I41" s="196"/>
      <c r="J41" s="268"/>
      <c r="K41" s="268"/>
      <c r="L41" s="268"/>
      <c r="M41" s="268"/>
      <c r="N41" s="339"/>
      <c r="O41" s="268"/>
      <c r="P41" s="338"/>
      <c r="Q41" s="338"/>
      <c r="R41" s="338"/>
      <c r="S41" s="338"/>
      <c r="AC41" s="229">
        <v>14</v>
      </c>
    </row>
    <row s="5483" customFormat="1" customHeight="1" ht="1.05">
      <c r="A42" s="871"/>
      <c r="B42" s="530"/>
      <c r="C42" s="871"/>
      <c r="D42" s="278"/>
      <c r="E42" s="196"/>
      <c r="F42" s="871"/>
      <c r="G42" s="196"/>
      <c r="H42" s="196"/>
      <c r="I42" s="196"/>
      <c r="J42" s="268"/>
      <c r="K42" s="268"/>
      <c r="L42" s="268"/>
      <c r="M42" s="268"/>
      <c r="N42" s="339"/>
      <c r="O42" s="268"/>
      <c r="P42" s="338"/>
      <c r="Q42" s="338"/>
      <c r="R42" s="338"/>
      <c r="S42" s="338"/>
      <c r="AC42" s="229">
        <v>1</v>
      </c>
    </row>
    <row s="5561" customFormat="1" customHeight="1" ht="10.5">
      <c r="B43" s="947"/>
      <c r="D43" s="295"/>
      <c r="J43" s="268"/>
      <c r="K43" s="268"/>
      <c r="L43" s="268"/>
      <c r="M43" s="268"/>
      <c r="N43" s="339"/>
      <c r="O43" s="268"/>
      <c r="P43" s="338"/>
      <c r="Q43" s="338"/>
      <c r="R43" s="338"/>
      <c r="S43" s="338"/>
      <c r="AC43" s="294">
        <v>10</v>
      </c>
    </row>
    <row s="5561" customFormat="1" customHeight="1" ht="10.5">
      <c r="B44" s="947"/>
      <c r="D44" s="295"/>
      <c r="J44" s="268"/>
      <c r="K44" s="268"/>
      <c r="L44" s="268"/>
      <c r="M44" s="268"/>
      <c r="N44" s="339"/>
      <c r="O44" s="268"/>
      <c r="P44" s="338"/>
      <c r="Q44" s="338"/>
      <c r="R44" s="338"/>
      <c r="S44" s="338"/>
      <c r="AC44" s="294">
        <v>10</v>
      </c>
    </row>
    <row customHeight="1" ht="14.699999999999998">
      <c r="AC45" s="196">
        <v>14</v>
      </c>
    </row>
    <row customHeight="1" ht="14.699999999999998">
      <c r="AC46" s="196">
        <v>14</v>
      </c>
    </row>
    <row customHeight="1" ht="14.699999999999998">
      <c r="AC47" s="196">
        <v>14</v>
      </c>
    </row>
    <row customHeight="1" ht="14.699999999999998">
      <c r="H48" s="175"/>
      <c r="AC48" s="196">
        <v>14</v>
      </c>
    </row>
    <row customHeight="1" ht="14.699999999999998">
      <c r="AC49" s="196">
        <v>14</v>
      </c>
    </row>
    <row customHeight="1" ht="14.699999999999998">
      <c r="AC50" s="196">
        <v>14</v>
      </c>
    </row>
    <row customHeight="1" ht="14.699999999999998">
      <c r="AC51" s="196">
        <v>14</v>
      </c>
    </row>
    <row customHeight="1" ht="14.699999999999998">
      <c r="J52" s="196"/>
      <c r="K52" s="196"/>
      <c r="L52" s="196"/>
      <c r="AC52" s="196">
        <v>14</v>
      </c>
    </row>
    <row customHeight="1" ht="22.5" hidden="1">
      <c r="A53" s="871" t="s">
        <v>82</v>
      </c>
      <c r="B53" s="530">
        <v>0</v>
      </c>
      <c r="C53" s="871">
        <v>3</v>
      </c>
      <c r="D53" s="278">
        <v>3</v>
      </c>
      <c r="E53" s="196">
        <v>6</v>
      </c>
      <c r="F53" s="871">
        <v>0</v>
      </c>
      <c r="G53" s="196">
        <v>46</v>
      </c>
      <c r="H53" s="196">
        <v>42</v>
      </c>
      <c r="I53" s="196">
        <v>14</v>
      </c>
      <c r="J53" s="268">
        <v>3</v>
      </c>
      <c r="K53" s="268">
        <v>0</v>
      </c>
      <c r="L53" s="268">
        <v>0</v>
      </c>
      <c r="M53" s="268">
        <v>0</v>
      </c>
      <c r="N53" s="339">
        <v>0</v>
      </c>
      <c r="O53" s="268">
        <v>0</v>
      </c>
      <c r="P53" s="338">
        <v>0</v>
      </c>
      <c r="Q53" s="338">
        <v>0</v>
      </c>
      <c r="R53" s="338">
        <v>0</v>
      </c>
      <c r="S53" s="338">
        <v>0</v>
      </c>
      <c r="T53" s="196">
        <v>0</v>
      </c>
      <c r="U53" s="196">
        <v>0</v>
      </c>
      <c r="V53" s="196">
        <v>0</v>
      </c>
      <c r="W53" s="196">
        <v>0</v>
      </c>
      <c r="X53" s="196">
        <v>0</v>
      </c>
      <c r="Y53" s="196">
        <v>0</v>
      </c>
      <c r="Z53" s="196">
        <v>0</v>
      </c>
      <c r="AA53" s="196">
        <v>0</v>
      </c>
      <c r="AB53" s="196">
        <v>8</v>
      </c>
      <c r="AC53" s="196">
        <v>23</v>
      </c>
    </row>
  </sheetData>
  <sheetProtection formatColumns="0" formatRows="0" autoFilter="0" sort="0" insertRows="0" insertColumns="1" deleteRows="0" deleteColumns="0"/>
  <mergeCells count="12">
    <mergeCell ref="A12:A14"/>
    <mergeCell ref="E4:I4"/>
    <mergeCell ref="E8:G8"/>
    <mergeCell ref="H8:I8"/>
    <mergeCell ref="A15:A17"/>
    <mergeCell ref="A18:A20"/>
    <mergeCell ref="A21:A23"/>
    <mergeCell ref="A24:A26"/>
    <mergeCell ref="A27:A29"/>
    <mergeCell ref="A30:A32"/>
    <mergeCell ref="A33:A35"/>
    <mergeCell ref="A36:A38"/>
  </mergeCells>
  <dataValidations count="9">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B545B-F3F6-4ED2-93FD-DC41F6154FA7}"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604" width="6.421875" hidden="1" customWidth="1"/>
    <col min="2" max="2" style="5604" width="2.00390625" hidden="1" customWidth="1"/>
    <col min="3" max="3" style="5604" width="3.00390625" customWidth="1"/>
    <col min="4" max="4" style="5604" width="4.00390625" customWidth="1"/>
    <col min="5" max="5" style="5604" width="44.00390625" customWidth="1"/>
    <col min="6" max="6" style="5604" width="6.421875" customWidth="1"/>
    <col min="7" max="7" style="5604" width="4.00390625" customWidth="1"/>
    <col min="8" max="8" style="5604" width="5.00390625" customWidth="1"/>
    <col min="9" max="9" style="5604" width="52.00390625" customWidth="1"/>
    <col min="10" max="10" style="5604" width="7.00390625" customWidth="1"/>
    <col min="11" max="11" style="5604" width="3.00390625" customWidth="1"/>
    <col min="12" max="12" style="5604" width="6.00390625" customWidth="1"/>
    <col min="13" max="13" style="5604" width="56.00390625" customWidth="1"/>
    <col min="14" max="14" style="5655" width="8.00390625" customWidth="1"/>
    <col min="15" max="20" style="5567" width="9.140625" hidden="1"/>
    <col min="21" max="24" style="5656" width="9.140625" hidden="1"/>
    <col min="25" max="37" style="5655" width="9.140625" hidden="1"/>
    <col min="38" max="38" style="5655" width="8.00390625" customWidth="1"/>
    <col min="39" max="39" style="5604"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575" customFormat="1" customHeight="1" ht="14.699999999999998">
      <c r="A5" s="698"/>
      <c r="B5" s="698"/>
      <c r="C5" s="698"/>
      <c r="D5" s="2235" t="str">
        <f>IF(org=0,"Не определено",org)</f>
        <v>КГУП "Примтеплоэнерго"</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75"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75"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141</v>
      </c>
      <c r="E9" s="2240"/>
      <c r="F9" s="2241" t="s">
        <v>142</v>
      </c>
      <c r="G9" s="2242"/>
      <c r="H9" s="2242"/>
      <c r="I9" s="2242"/>
      <c r="J9" s="2245" t="s">
        <v>143</v>
      </c>
      <c r="K9" s="2245"/>
      <c r="L9" s="2245"/>
      <c r="M9" s="2245"/>
      <c r="AM9" s="696">
        <v>18</v>
      </c>
    </row>
    <row customHeight="1" ht="24">
      <c r="A10" s="2239"/>
      <c r="B10" s="705"/>
      <c r="C10" s="638"/>
      <c r="D10" s="636" t="s">
        <v>88</v>
      </c>
      <c r="E10" s="636" t="s">
        <v>89</v>
      </c>
      <c r="F10" s="636" t="s">
        <v>144</v>
      </c>
      <c r="G10" s="2246" t="s">
        <v>88</v>
      </c>
      <c r="H10" s="2247"/>
      <c r="I10" s="636" t="s">
        <v>89</v>
      </c>
      <c r="J10" s="636" t="s">
        <v>144</v>
      </c>
      <c r="K10" s="2246" t="s">
        <v>88</v>
      </c>
      <c r="L10" s="2247"/>
      <c r="M10" s="636" t="s">
        <v>89</v>
      </c>
      <c r="N10" s="1740"/>
      <c r="AM10" s="696">
        <v>23</v>
      </c>
    </row>
    <row s="5604" customFormat="1" customHeight="1" ht="11.25" hidden="1">
      <c r="A11" s="706"/>
      <c r="B11" s="706"/>
      <c r="C11" s="706"/>
      <c r="D11" s="707" t="s">
        <v>136</v>
      </c>
      <c r="E11" s="707" t="s">
        <v>103</v>
      </c>
      <c r="F11" s="707" t="s">
        <v>90</v>
      </c>
      <c r="G11" s="2228" t="s">
        <v>91</v>
      </c>
      <c r="H11" s="2229"/>
      <c r="I11" s="707" t="s">
        <v>116</v>
      </c>
      <c r="J11" s="707" t="s">
        <v>92</v>
      </c>
      <c r="K11" s="2230" t="s">
        <v>93</v>
      </c>
      <c r="L11" s="2231"/>
      <c r="M11" s="707" t="s">
        <v>129</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145</v>
      </c>
      <c r="P12" s="1526" t="s">
        <v>146</v>
      </c>
      <c r="Q12" s="1526" t="s">
        <v>147</v>
      </c>
      <c r="R12" s="1526" t="s">
        <v>148</v>
      </c>
      <c r="AM12" s="696">
        <v>1</v>
      </c>
    </row>
    <row s="5604" customFormat="1" customHeight="1" ht="15.75">
      <c r="A13" s="406"/>
      <c r="B13" s="406"/>
      <c r="C13" s="639"/>
      <c r="D13" s="2221" t="s">
        <v>136</v>
      </c>
      <c r="E13" s="2222"/>
      <c r="F13" s="2225" t="s">
        <v>66</v>
      </c>
      <c r="G13" s="2226"/>
      <c r="H13" s="2227">
        <v>1</v>
      </c>
      <c r="I13" s="2218" t="str">
        <f>IF(U13="","",INDEX(TERRITORY_MR_LIST,MATCH(U13,TERRITORY_LIST_ID,0)))</f>
        <v/>
      </c>
      <c r="J13" s="2220" t="s">
        <v>19</v>
      </c>
      <c r="K13" s="715"/>
      <c r="L13" s="640" t="s">
        <v>136</v>
      </c>
      <c r="M13" s="716" t="s">
        <v>28</v>
      </c>
      <c r="N13" s="925"/>
      <c r="O13" s="1529" t="s">
        <v>149</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150</v>
      </c>
      <c r="Z13" s="717">
        <v>1705000</v>
      </c>
      <c r="AA13" s="717"/>
      <c r="AB13" s="717"/>
      <c r="AC13" s="717"/>
      <c r="AD13" s="717"/>
      <c r="AE13" s="717"/>
      <c r="AF13" s="717"/>
      <c r="AG13" s="717"/>
      <c r="AH13" s="717"/>
      <c r="AI13" s="717"/>
      <c r="AJ13" s="717"/>
      <c r="AK13" s="717"/>
      <c r="AL13" s="717"/>
      <c r="AM13" s="719">
        <v>15</v>
      </c>
    </row>
    <row s="5604" customFormat="1" customHeight="1" ht="15.75">
      <c r="A14" s="406"/>
      <c r="B14" s="406"/>
      <c r="C14" s="289"/>
      <c r="D14" s="2221"/>
      <c r="E14" s="2223"/>
      <c r="F14" s="2220"/>
      <c r="G14" s="2226"/>
      <c r="H14" s="2227"/>
      <c r="I14" s="2219"/>
      <c r="J14" s="2220"/>
      <c r="K14" s="534"/>
      <c r="L14" s="290"/>
      <c r="M14" s="720" t="s">
        <v>151</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04" customFormat="1" customHeight="1" ht="15.75">
      <c r="A15" s="406"/>
      <c r="B15" s="406"/>
      <c r="C15" s="289"/>
      <c r="D15" s="2221"/>
      <c r="E15" s="2224"/>
      <c r="F15" s="2220"/>
      <c r="G15" s="1173"/>
      <c r="H15" s="1174"/>
      <c r="I15" s="693" t="s">
        <v>152</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153</v>
      </c>
      <c r="F16" s="290"/>
      <c r="G16" s="290"/>
      <c r="H16" s="290"/>
      <c r="I16" s="290"/>
      <c r="J16" s="290"/>
      <c r="K16" s="290" t="s">
        <v>28</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DD94D-C4FB-0B74-E735-834D8607A71B}" mc:Ignorable="x14ac xr xr2 xr3">
  <sheetPr>
    <tabColor rgb="FFCCCCFF"/>
  </sheetPr>
  <dimension ref="A1:AR188"/>
  <sheetViews>
    <sheetView topLeftCell="A1" showGridLines="0" zoomScale="90" workbookViewId="0">
      <selection activeCell="R134" sqref="R134:R135"/>
    </sheetView>
  </sheetViews>
  <sheetFormatPr defaultColWidth="9.140625" customHeight="1" defaultRowHeight="11.25"/>
  <cols>
    <col min="1" max="2" style="5567" width="3.7109375" hidden="1" customWidth="1"/>
    <col min="3" max="3" style="5604" width="3.00390625" customWidth="1"/>
    <col min="4" max="4" style="5604" width="6.00390625" customWidth="1"/>
    <col min="5" max="5" style="5604" width="42.00390625" customWidth="1"/>
    <col min="6" max="6" style="5604" width="15.00390625" customWidth="1"/>
    <col min="7" max="7" style="5604" width="42.00390625" customWidth="1"/>
    <col min="8" max="8" style="5604" width="3.00390625" customWidth="1"/>
    <col min="9" max="9" style="5604" width="5.00390625" customWidth="1"/>
    <col min="10" max="10" style="5604" width="47.00390625" customWidth="1"/>
    <col min="11" max="12" style="5604" width="3.00390625" customWidth="1"/>
    <col min="13" max="13" style="5604" width="5.00390625" customWidth="1"/>
    <col min="14" max="14" style="5604" width="28.00390625" customWidth="1"/>
    <col min="15" max="16" style="5604" width="3.00390625" customWidth="1"/>
    <col min="17" max="17" style="5604" width="5.00390625" customWidth="1"/>
    <col min="18" max="18" style="5604" width="34.00390625" customWidth="1"/>
    <col min="19" max="20" style="5604" width="3.7109375" hidden="1" customWidth="1"/>
    <col min="21" max="21" style="5604" width="5.7109375" hidden="1" customWidth="1"/>
    <col min="22" max="22" style="5604" width="34.421875" hidden="1" customWidth="1"/>
    <col min="23" max="23" style="5604" width="30.00390625" customWidth="1"/>
    <col min="24" max="24" style="5604" width="3.00390625" customWidth="1"/>
    <col min="25" max="28" style="5656" width="9.8515625" hidden="1" customWidth="1"/>
    <col min="29" max="29" style="5656" width="27.00390625" hidden="1" customWidth="1"/>
    <col min="30" max="30" style="5656" width="10.57421875" hidden="1" customWidth="1"/>
    <col min="31" max="31" style="5656" width="10.7109375" hidden="1" customWidth="1"/>
    <col min="32" max="32" style="5656" width="10.00390625" hidden="1" customWidth="1"/>
    <col min="33" max="33" style="5656" width="12.8515625" hidden="1" customWidth="1"/>
    <col min="34" max="34" style="5656" width="24.421875" hidden="1" customWidth="1"/>
    <col min="35" max="35" style="5656" width="15.8515625" hidden="1" customWidth="1"/>
    <col min="36" max="36" style="5656" width="19.421875" hidden="1" customWidth="1"/>
    <col min="37" max="37" style="5656" width="11.00390625" hidden="1" customWidth="1"/>
    <col min="38" max="38" style="5656" width="23.57421875" hidden="1" customWidth="1"/>
    <col min="39" max="39" style="5656" width="23.8515625" hidden="1" customWidth="1"/>
    <col min="40" max="40" style="5656" width="25.28125" hidden="1" customWidth="1"/>
    <col min="41" max="41" style="5656" width="16.8515625" hidden="1" customWidth="1"/>
    <col min="42" max="42" style="5656" width="29.57421875" hidden="1" customWidth="1"/>
    <col min="43" max="43" style="5656" width="29.8515625" hidden="1" customWidth="1"/>
    <col min="44" max="44" style="5604" width="9.140625" hidden="1"/>
  </cols>
  <sheetData>
    <row customHeight="1" ht="11.25" hidden="1">
      <c r="A1" s="269"/>
      <c r="AR1" s="217" t="s">
        <v>14</v>
      </c>
    </row>
    <row customHeight="1" ht="11.25" hidden="1">
      <c r="AR2" s="217">
        <v>0</v>
      </c>
    </row>
    <row customHeight="1" ht="11.25" hidden="1">
      <c r="AR3" s="217">
        <v>0</v>
      </c>
    </row>
    <row customHeight="1" ht="3">
      <c r="AR4" s="217">
        <v>3</v>
      </c>
    </row>
    <row s="5575"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75" customFormat="1" customHeight="1" ht="14.699999999999998">
      <c r="A6" s="698"/>
      <c r="B6" s="698"/>
      <c r="C6" s="698"/>
      <c r="D6" s="2276" t="str">
        <f>IF(org=0,"Не определено",org)</f>
        <v>КГУП "Примтеплоэнерго"</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69"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75"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154</v>
      </c>
      <c r="F9" s="2216"/>
      <c r="G9" s="2240" t="s">
        <v>141</v>
      </c>
      <c r="H9" s="2240" t="s">
        <v>88</v>
      </c>
      <c r="I9" s="2240"/>
      <c r="J9" s="2240" t="s">
        <v>155</v>
      </c>
      <c r="K9" s="2268" t="s">
        <v>156</v>
      </c>
      <c r="L9" s="2268"/>
      <c r="M9" s="2268"/>
      <c r="N9" s="2268"/>
      <c r="O9" s="2268" t="s">
        <v>157</v>
      </c>
      <c r="P9" s="2268"/>
      <c r="Q9" s="2268"/>
      <c r="R9" s="2268"/>
      <c r="S9" s="2268" t="s">
        <v>158</v>
      </c>
      <c r="T9" s="2268"/>
      <c r="U9" s="2268"/>
      <c r="V9" s="2268"/>
      <c r="W9" s="2240" t="s">
        <v>159</v>
      </c>
      <c r="AR9" s="217">
        <v>27</v>
      </c>
    </row>
    <row customHeight="1" ht="31.5">
      <c r="D10" s="2240"/>
      <c r="E10" s="1397" t="s">
        <v>89</v>
      </c>
      <c r="F10" s="1397" t="s">
        <v>160</v>
      </c>
      <c r="G10" s="2240"/>
      <c r="H10" s="2240"/>
      <c r="I10" s="2240"/>
      <c r="J10" s="2240"/>
      <c r="K10" s="223" t="s">
        <v>144</v>
      </c>
      <c r="L10" s="2240" t="s">
        <v>88</v>
      </c>
      <c r="M10" s="2240"/>
      <c r="N10" s="223" t="s">
        <v>161</v>
      </c>
      <c r="O10" s="223" t="s">
        <v>144</v>
      </c>
      <c r="P10" s="2240" t="s">
        <v>88</v>
      </c>
      <c r="Q10" s="2240"/>
      <c r="R10" s="223" t="s">
        <v>161</v>
      </c>
      <c r="S10" s="396" t="s">
        <v>144</v>
      </c>
      <c r="T10" s="2240" t="s">
        <v>88</v>
      </c>
      <c r="U10" s="2240"/>
      <c r="V10" s="396" t="s">
        <v>89</v>
      </c>
      <c r="W10" s="2240"/>
      <c r="Z10" s="1372" t="s">
        <v>162</v>
      </c>
      <c r="AA10" s="1372" t="s">
        <v>163</v>
      </c>
      <c r="AB10" s="1372" t="s">
        <v>164</v>
      </c>
      <c r="AC10" s="1372" t="s">
        <v>165</v>
      </c>
      <c r="AD10" s="1372" t="s">
        <v>166</v>
      </c>
      <c r="AE10" s="1372" t="s">
        <v>167</v>
      </c>
      <c r="AF10" s="1372" t="s">
        <v>168</v>
      </c>
      <c r="AG10" s="1372" t="s">
        <v>169</v>
      </c>
      <c r="AH10" s="1372" t="s">
        <v>170</v>
      </c>
      <c r="AI10" s="1372" t="s">
        <v>171</v>
      </c>
      <c r="AJ10" s="1372" t="s">
        <v>172</v>
      </c>
      <c r="AK10" s="1372" t="s">
        <v>173</v>
      </c>
      <c r="AL10" s="1372" t="s">
        <v>174</v>
      </c>
      <c r="AM10" s="1372" t="s">
        <v>175</v>
      </c>
      <c r="AN10" s="1372" t="s">
        <v>176</v>
      </c>
      <c r="AO10" s="1372" t="s">
        <v>177</v>
      </c>
      <c r="AP10" s="1372" t="s">
        <v>178</v>
      </c>
      <c r="AQ10" s="1372" t="s">
        <v>179</v>
      </c>
      <c r="AR10" s="217">
        <v>30</v>
      </c>
    </row>
    <row s="5567" customFormat="1" customHeight="1" ht="12" hidden="1">
      <c r="D11" s="1362" t="s">
        <v>136</v>
      </c>
      <c r="E11" s="1362" t="s">
        <v>103</v>
      </c>
      <c r="F11" s="1362"/>
      <c r="G11" s="1362" t="s">
        <v>90</v>
      </c>
      <c r="H11" s="2269" t="s">
        <v>116</v>
      </c>
      <c r="I11" s="2269"/>
      <c r="J11" s="1362" t="s">
        <v>92</v>
      </c>
      <c r="K11" s="1362" t="s">
        <v>93</v>
      </c>
      <c r="L11" s="2269" t="s">
        <v>129</v>
      </c>
      <c r="M11" s="2269"/>
      <c r="N11" s="1362" t="s">
        <v>134</v>
      </c>
      <c r="O11" s="1362" t="s">
        <v>180</v>
      </c>
      <c r="P11" s="2269" t="s">
        <v>181</v>
      </c>
      <c r="Q11" s="2269"/>
      <c r="R11" s="1362" t="s">
        <v>182</v>
      </c>
      <c r="S11" s="1362" t="s">
        <v>181</v>
      </c>
      <c r="T11" s="2269" t="s">
        <v>182</v>
      </c>
      <c r="U11" s="2269"/>
      <c r="V11" s="1362" t="s">
        <v>183</v>
      </c>
      <c r="W11" s="1362" t="s">
        <v>184</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04" customFormat="1" customHeight="1" ht="17.25" hidden="1">
      <c r="A13" s="434"/>
      <c r="C13" s="322"/>
      <c r="D13" s="2248">
        <v>1</v>
      </c>
      <c r="E13" s="2256" t="s">
        <v>185</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186</v>
      </c>
      <c r="AD13" s="1380" t="s">
        <v>187</v>
      </c>
      <c r="AE13" s="1380" t="s">
        <v>188</v>
      </c>
      <c r="AF13" s="1380" t="s">
        <v>189</v>
      </c>
      <c r="AG13" s="1380" t="s">
        <v>190</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04"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04"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04"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04"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04"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191</v>
      </c>
      <c r="AD18" s="1380" t="s">
        <v>192</v>
      </c>
      <c r="AE18" s="1380" t="s">
        <v>193</v>
      </c>
      <c r="AF18" s="1380" t="s">
        <v>194</v>
      </c>
      <c r="AG18" s="1380" t="s">
        <v>195</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04"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04"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04"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04"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04" customFormat="1" customHeight="1" ht="17.25" hidden="1">
      <c r="A23" s="434"/>
      <c r="C23" s="322"/>
      <c r="D23" s="2248">
        <v>2</v>
      </c>
      <c r="E23" s="2256" t="s">
        <v>196</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191</v>
      </c>
      <c r="AD23" s="1380" t="s">
        <v>192</v>
      </c>
      <c r="AE23" s="1380" t="s">
        <v>193</v>
      </c>
      <c r="AF23" s="1380" t="s">
        <v>194</v>
      </c>
      <c r="AG23" s="1380" t="s">
        <v>195</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604"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04"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04"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04"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04" customFormat="1" customHeight="1" ht="17.25" hidden="1">
      <c r="A28" s="434"/>
      <c r="C28" s="322"/>
      <c r="D28" s="2248">
        <v>3</v>
      </c>
      <c r="E28" s="2256" t="s">
        <v>197</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198</v>
      </c>
      <c r="AD28" s="1380" t="s">
        <v>199</v>
      </c>
      <c r="AE28" s="1380" t="s">
        <v>200</v>
      </c>
      <c r="AF28" s="1380" t="s">
        <v>201</v>
      </c>
      <c r="AG28" s="1380" t="s">
        <v>202</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04"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04"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04"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04"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04" customFormat="1" customHeight="1" ht="17.25" hidden="1">
      <c r="A33" s="434"/>
      <c r="C33" s="322"/>
      <c r="D33" s="2248">
        <v>4</v>
      </c>
      <c r="E33" s="2256" t="s">
        <v>203</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204</v>
      </c>
      <c r="AD33" s="1380" t="s">
        <v>205</v>
      </c>
      <c r="AE33" s="1380" t="s">
        <v>206</v>
      </c>
      <c r="AF33" s="1380" t="s">
        <v>207</v>
      </c>
      <c r="AG33" s="1380" t="s">
        <v>208</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04"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04"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04"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04"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04" customFormat="1" customHeight="1" ht="17.25" hidden="1">
      <c r="A38" s="434"/>
      <c r="C38" s="322"/>
      <c r="D38" s="2248">
        <v>5</v>
      </c>
      <c r="E38" s="2256" t="s">
        <v>209</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210</v>
      </c>
      <c r="AD38" s="1380" t="s">
        <v>211</v>
      </c>
      <c r="AE38" s="1380" t="s">
        <v>212</v>
      </c>
      <c r="AF38" s="1380" t="s">
        <v>213</v>
      </c>
      <c r="AG38" s="1380" t="s">
        <v>214</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04"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04"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04"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04"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04" customFormat="1" customHeight="1" ht="17.25" hidden="1">
      <c r="A43" s="434"/>
      <c r="C43" s="322"/>
      <c r="D43" s="2248">
        <v>6</v>
      </c>
      <c r="E43" s="2256" t="s">
        <v>215</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216</v>
      </c>
      <c r="AD43" s="1380" t="s">
        <v>217</v>
      </c>
      <c r="AE43" s="1380" t="s">
        <v>218</v>
      </c>
      <c r="AF43" s="1380" t="s">
        <v>219</v>
      </c>
      <c r="AG43" s="1380" t="s">
        <v>220</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04"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04"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04"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04"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04" customFormat="1" customHeight="1" ht="17.25" hidden="1">
      <c r="A48" s="434"/>
      <c r="C48" s="322"/>
      <c r="D48" s="2279">
        <v>7</v>
      </c>
      <c r="E48" s="2282" t="s">
        <v>221</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222</v>
      </c>
      <c r="AD48" s="1380" t="s">
        <v>223</v>
      </c>
      <c r="AE48" s="1380" t="s">
        <v>224</v>
      </c>
      <c r="AF48" s="1380" t="s">
        <v>225</v>
      </c>
      <c r="AG48" s="1380" t="s">
        <v>226</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04"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04"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04"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04"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04" customFormat="1" customHeight="1" ht="17.25" hidden="1">
      <c r="A53" s="434"/>
      <c r="C53" s="322"/>
      <c r="D53" s="2248">
        <v>8</v>
      </c>
      <c r="E53" s="2256" t="s">
        <v>227</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228</v>
      </c>
      <c r="AD53" s="1380" t="s">
        <v>229</v>
      </c>
      <c r="AE53" s="1380" t="s">
        <v>230</v>
      </c>
      <c r="AF53" s="1380" t="s">
        <v>231</v>
      </c>
      <c r="AG53" s="1380" t="s">
        <v>232</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04"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04"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04"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04"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04" customFormat="1" customHeight="1" ht="17.25" hidden="1">
      <c r="A58" s="434"/>
      <c r="C58" s="322"/>
      <c r="D58" s="2248">
        <v>9</v>
      </c>
      <c r="E58" s="2256" t="s">
        <v>233</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234</v>
      </c>
      <c r="AD58" s="1380" t="s">
        <v>235</v>
      </c>
      <c r="AE58" s="1380" t="s">
        <v>236</v>
      </c>
      <c r="AF58" s="1380" t="s">
        <v>237</v>
      </c>
      <c r="AG58" s="1380" t="s">
        <v>238</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604"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04"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04"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04"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04" customFormat="1" customHeight="1" ht="17.25" hidden="1">
      <c r="A63" s="434"/>
      <c r="C63" s="322"/>
      <c r="D63" s="2248">
        <v>10</v>
      </c>
      <c r="E63" s="2256" t="s">
        <v>239</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240</v>
      </c>
      <c r="AD63" s="1380" t="s">
        <v>241</v>
      </c>
      <c r="AE63" s="1380" t="s">
        <v>242</v>
      </c>
      <c r="AF63" s="1380" t="s">
        <v>243</v>
      </c>
      <c r="AG63" s="1380" t="s">
        <v>244</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04"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04"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04"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04"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245</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246</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247</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248</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249</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250</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251</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252</v>
      </c>
      <c r="F77" s="2285"/>
      <c r="G77" s="2286"/>
      <c r="H77" s="2286"/>
      <c r="I77" s="2286"/>
      <c r="J77" s="2286"/>
      <c r="K77" s="2286"/>
      <c r="L77" s="2286"/>
      <c r="M77" s="2286"/>
      <c r="N77" s="2286"/>
      <c r="O77" s="2286"/>
      <c r="P77" s="2286"/>
      <c r="Q77" s="2286"/>
      <c r="R77" s="2286"/>
      <c r="S77" s="2286"/>
      <c r="T77" s="2286"/>
      <c r="U77" s="2286"/>
      <c r="V77" s="2286"/>
      <c r="W77" s="2286"/>
      <c r="AR77" s="217">
        <v>0</v>
      </c>
    </row>
    <row s="5604"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04" customFormat="1" customHeight="1" ht="17.25" hidden="1">
      <c r="A79" s="434"/>
      <c r="C79" s="322"/>
      <c r="D79" s="2248">
        <v>1</v>
      </c>
      <c r="E79" s="2256" t="s">
        <v>253</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254</v>
      </c>
      <c r="AD79" s="1380" t="s">
        <v>255</v>
      </c>
      <c r="AE79" s="1380" t="s">
        <v>256</v>
      </c>
      <c r="AF79" s="1380" t="s">
        <v>257</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04"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04"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04"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04"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04" customFormat="1" customHeight="1" ht="17.25" hidden="1">
      <c r="A84" s="434"/>
      <c r="C84" s="322"/>
      <c r="D84" s="2248">
        <v>2</v>
      </c>
      <c r="E84" s="2256" t="s">
        <v>258</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259</v>
      </c>
      <c r="AD84" s="1380" t="s">
        <v>260</v>
      </c>
      <c r="AE84" s="1380" t="s">
        <v>261</v>
      </c>
      <c r="AF84" s="1380" t="s">
        <v>262</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04"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04"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04"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04"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04" customFormat="1" customHeight="1" ht="17.25" hidden="1">
      <c r="A89" s="434"/>
      <c r="C89" s="322"/>
      <c r="D89" s="2248">
        <v>3</v>
      </c>
      <c r="E89" s="2256" t="s">
        <v>263</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264</v>
      </c>
      <c r="AD89" s="1380" t="s">
        <v>265</v>
      </c>
      <c r="AE89" s="1380" t="s">
        <v>266</v>
      </c>
      <c r="AF89" s="1380" t="s">
        <v>267</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04"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04"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04"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04"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04" customFormat="1" customHeight="1" ht="17.25" hidden="1">
      <c r="A94" s="434"/>
      <c r="C94" s="322"/>
      <c r="D94" s="2248">
        <v>4</v>
      </c>
      <c r="E94" s="2256" t="s">
        <v>268</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269</v>
      </c>
      <c r="AD94" s="1380" t="s">
        <v>270</v>
      </c>
      <c r="AE94" s="1380" t="s">
        <v>271</v>
      </c>
      <c r="AF94" s="1380" t="s">
        <v>272</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04"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04"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04"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04"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04" customFormat="1" customHeight="1" ht="17.25" hidden="1">
      <c r="A99" s="434"/>
      <c r="C99" s="322"/>
      <c r="D99" s="2248">
        <v>5</v>
      </c>
      <c r="E99" s="2256" t="s">
        <v>273</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274</v>
      </c>
      <c r="AD99" s="1380" t="s">
        <v>275</v>
      </c>
      <c r="AE99" s="1380" t="s">
        <v>276</v>
      </c>
      <c r="AF99" s="1380" t="s">
        <v>277</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04"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04"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04"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04"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04"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04" customFormat="1" customHeight="1" ht="17.25" hidden="1">
      <c r="A105" s="434"/>
      <c r="C105" s="322"/>
      <c r="D105" s="2248">
        <v>1</v>
      </c>
      <c r="E105" s="2256" t="s">
        <v>278</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279</v>
      </c>
      <c r="AD105" s="1380" t="s">
        <v>280</v>
      </c>
      <c r="AE105" s="1380" t="s">
        <v>281</v>
      </c>
      <c r="AF105" s="1380" t="s">
        <v>282</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04"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04"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04"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04"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04" customFormat="1" customHeight="1" ht="17.25" hidden="1">
      <c r="A110" s="434"/>
      <c r="C110" s="322"/>
      <c r="D110" s="2248">
        <v>2</v>
      </c>
      <c r="E110" s="2256" t="s">
        <v>283</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284</v>
      </c>
      <c r="AD110" s="1380" t="s">
        <v>285</v>
      </c>
      <c r="AE110" s="1380" t="s">
        <v>286</v>
      </c>
      <c r="AF110" s="1380" t="s">
        <v>287</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04"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04"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04"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04"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04" customFormat="1" customHeight="1" ht="17.25" hidden="1">
      <c r="A115" s="434"/>
      <c r="C115" s="322"/>
      <c r="D115" s="2248">
        <v>3</v>
      </c>
      <c r="E115" s="2256" t="s">
        <v>288</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289</v>
      </c>
      <c r="AD115" s="1380" t="s">
        <v>290</v>
      </c>
      <c r="AE115" s="1380" t="s">
        <v>291</v>
      </c>
      <c r="AF115" s="1380" t="s">
        <v>292</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04"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04"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04"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04"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04"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04" customFormat="1" customHeight="1" ht="17.25">
      <c r="A121" s="434"/>
      <c r="C121" s="322"/>
      <c r="D121" s="2248">
        <v>1</v>
      </c>
      <c r="E121" s="2256" t="s">
        <v>293</v>
      </c>
      <c r="F121" s="2258" t="s">
        <v>66</v>
      </c>
      <c r="G121" s="5783" t="str">
        <f>INDEX(VD_NAME_LIST,MATCH("4189714",VD_ID_LIST,0))</f>
        <v>Водоотведение</v>
      </c>
      <c r="H121" s="5784"/>
      <c r="I121" s="5784">
        <v>1</v>
      </c>
      <c r="J121" s="5785" t="s">
        <v>293</v>
      </c>
      <c r="K121" s="5786" t="s">
        <v>66</v>
      </c>
      <c r="L121" s="5787"/>
      <c r="M121" s="5787" t="s">
        <v>136</v>
      </c>
      <c r="N121" s="5788" t="str">
        <f>IF(Z121="","",INDEX(TERRITORY_MR_LIST,MATCH(Z121,TERRITORY_LIST_ID,0)))</f>
        <v>Территория 1</v>
      </c>
      <c r="O121" s="5786" t="s">
        <v>66</v>
      </c>
      <c r="P121" s="5787"/>
      <c r="Q121" s="5787" t="s">
        <v>136</v>
      </c>
      <c r="R121" s="5789" t="s">
        <v>294</v>
      </c>
      <c r="S121" s="5790" t="s">
        <v>19</v>
      </c>
      <c r="T121" s="5790"/>
      <c r="U121" s="5790" t="s">
        <v>136</v>
      </c>
      <c r="V121" s="5791"/>
      <c r="W121" s="5785"/>
      <c r="Y121" s="1380"/>
      <c r="Z121" s="1380" t="s">
        <v>98</v>
      </c>
      <c r="AA121" s="1380"/>
      <c r="AB121" s="1380" t="s">
        <v>295</v>
      </c>
      <c r="AC121" s="1380" t="s">
        <v>296</v>
      </c>
      <c r="AD121" s="1380" t="s">
        <v>297</v>
      </c>
      <c r="AE121" s="1380" t="s">
        <v>298</v>
      </c>
      <c r="AF121" s="1380" t="s">
        <v>299</v>
      </c>
      <c r="AG121" s="1380"/>
      <c r="AH121" s="1380" t="str">
        <f>IF($E$121=0,"",$E$121)</f>
        <v>Тариф на водоотведение</v>
      </c>
      <c r="AI121" s="1380" t="str">
        <f>IF($G$121=0,"",$G$121)</f>
        <v>Водоотведение</v>
      </c>
      <c r="AJ121" s="1380" t="str">
        <f>IF($J$121=0,"",$J$121)</f>
        <v>Тариф на водоотведение</v>
      </c>
      <c r="AK121" s="1380" t="str">
        <f>IF($K$121="нет","без дифференциации",IF($N$121=0,"",$N$121))</f>
        <v>Территория 1</v>
      </c>
      <c r="AL121" s="1380" t="str">
        <f>IF($O$121="нет","без дифференциации",IF($R$121=0,"",$R$121))</f>
        <v>с. Барабаш, с. Занадворовка</v>
      </c>
      <c r="AM121" s="1380" t="str">
        <f>IF($S$121="нет","без дифференциации",IF($V$121=0,"",$V$121))</f>
        <v>без дифференциации</v>
      </c>
      <c r="AN121" s="1380">
        <f>$I$121</f>
        <v>1</v>
      </c>
      <c r="AO121" s="1380" t="str">
        <f>$I$121&amp;"."&amp;$M$121</f>
        <v>1.1</v>
      </c>
      <c r="AP121" s="1380" t="str">
        <f>$I$121&amp;"."&amp;$M$121&amp;"."&amp;$Q$121</f>
        <v>1.1.1</v>
      </c>
      <c r="AQ121" s="1380" t="str">
        <f>$I$121&amp;"."&amp;$M$121&amp;"."&amp;$Q$121&amp;"."&amp;$U$121</f>
        <v>1.1.1.1</v>
      </c>
      <c r="AR121" s="1580">
        <v>0</v>
      </c>
    </row>
    <row s="5604" customFormat="1" customHeight="1" ht="17.25">
      <c r="A122" s="434"/>
      <c r="C122" s="433"/>
      <c r="D122" s="2248"/>
      <c r="E122" s="2256"/>
      <c r="F122" s="2259"/>
      <c r="G122" s="5783"/>
      <c r="H122" s="5784"/>
      <c r="I122" s="5784"/>
      <c r="J122" s="5785"/>
      <c r="K122" s="5792"/>
      <c r="L122" s="5787"/>
      <c r="M122" s="5787"/>
      <c r="N122" s="5788"/>
      <c r="O122" s="5792"/>
      <c r="P122" s="5787"/>
      <c r="Q122" s="5787"/>
      <c r="R122" s="5789"/>
      <c r="S122" s="5790"/>
      <c r="T122" s="5793"/>
      <c r="U122" s="5794"/>
      <c r="V122" s="5794"/>
      <c r="W122" s="5785"/>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customHeight="1" ht="17.25">
      <c r="A123" s="1953"/>
      <c r="B123" s="5796"/>
      <c r="C123" s="1955"/>
      <c r="D123" s="1943"/>
      <c r="E123" s="1960"/>
      <c r="F123" s="1897"/>
      <c r="G123" s="1961"/>
      <c r="H123" s="1943"/>
      <c r="I123" s="1943"/>
      <c r="J123" s="1964"/>
      <c r="K123" s="1961"/>
      <c r="L123" s="1943"/>
      <c r="M123" s="1943"/>
      <c r="N123" s="2161"/>
      <c r="O123" s="1900"/>
      <c r="P123" s="2221" t="s">
        <v>104</v>
      </c>
      <c r="Q123" s="2221" t="s">
        <v>103</v>
      </c>
      <c r="R123" s="2615" t="s">
        <v>300</v>
      </c>
      <c r="S123" s="2519" t="s">
        <v>19</v>
      </c>
      <c r="T123" s="1915"/>
      <c r="U123" s="1915" t="s">
        <v>136</v>
      </c>
      <c r="V123" s="1547"/>
      <c r="W123" s="2614"/>
      <c r="X123" s="5796"/>
      <c r="Y123" s="1380"/>
      <c r="Z123" s="1380"/>
      <c r="AA123" s="1380"/>
      <c r="AB123" s="1380"/>
      <c r="AC123" s="5810" t="s">
        <v>296</v>
      </c>
      <c r="AD123" s="5810" t="s">
        <v>297</v>
      </c>
      <c r="AE123" s="5810" t="s">
        <v>298</v>
      </c>
      <c r="AF123" s="1380" t="s">
        <v>301</v>
      </c>
      <c r="AG123" s="1380" t="s">
        <v>302</v>
      </c>
      <c r="AH123" s="1380" t="str">
        <f>IF($E$121=0,"",$E$121)</f>
        <v>Тариф на водоотведение</v>
      </c>
      <c r="AI123" s="1380" t="str">
        <f>IF($G$121=0,"",$G$121)</f>
        <v>Водоотведение</v>
      </c>
      <c r="AJ123" s="1380" t="str">
        <f>IF($J$121=0,"",$J$121)</f>
        <v>Тариф на водоотведение</v>
      </c>
      <c r="AK123" s="1380" t="str">
        <f>IF($K$121="нет","без дифференциации",IF($N$121=0,"",$N$121))</f>
        <v>Территория 1</v>
      </c>
      <c r="AL123" s="1957" t="str">
        <f>IF($O$123="нет","без дифференциации",IF($R$123=0,"",$R$123))</f>
        <v>с. Безверхово, п. Перевозное</v>
      </c>
      <c r="AM123" s="1957"/>
      <c r="AN123" s="1380">
        <f>$I$121</f>
        <v>1</v>
      </c>
      <c r="AO123" s="1380" t="str">
        <f>$I$121&amp;"."&amp;$M$121</f>
        <v>1.1</v>
      </c>
      <c r="AP123" s="1380" t="str">
        <f>$I$121&amp;"."&amp;$M$121&amp;"."&amp;$Q$123</f>
        <v>1.1.2</v>
      </c>
      <c r="AQ123" s="1380"/>
      <c r="AR123" s="5796"/>
    </row>
    <row customHeight="1" ht="17.25">
      <c r="A124" s="1953"/>
      <c r="B124" s="5796"/>
      <c r="C124" s="1958"/>
      <c r="D124" s="1943"/>
      <c r="E124" s="1960"/>
      <c r="F124" s="1897"/>
      <c r="G124" s="1961"/>
      <c r="H124" s="1943"/>
      <c r="I124" s="1943"/>
      <c r="J124" s="1964"/>
      <c r="K124" s="1961"/>
      <c r="L124" s="1943"/>
      <c r="M124" s="1943"/>
      <c r="N124" s="2161"/>
      <c r="O124" s="1900"/>
      <c r="P124" s="2221"/>
      <c r="Q124" s="2221"/>
      <c r="R124" s="2615"/>
      <c r="S124" s="2519"/>
      <c r="T124" s="1548"/>
      <c r="U124" s="1549"/>
      <c r="V124" s="1549"/>
      <c r="W124" s="2614"/>
      <c r="X124" s="5796"/>
      <c r="Y124" s="1372"/>
      <c r="Z124" s="1372"/>
      <c r="AA124" s="1372"/>
      <c r="AB124" s="1372"/>
      <c r="AC124" s="1372"/>
      <c r="AD124" s="1372"/>
      <c r="AE124" s="1372"/>
      <c r="AF124" s="1372"/>
      <c r="AG124" s="1372"/>
      <c r="AH124" s="1372"/>
      <c r="AI124" s="1372"/>
      <c r="AJ124" s="1372"/>
      <c r="AK124" s="1372"/>
      <c r="AL124" s="5796"/>
      <c r="AM124" s="5796"/>
      <c r="AN124" s="5796"/>
      <c r="AO124" s="5796"/>
      <c r="AP124" s="5796"/>
      <c r="AQ124" s="5796"/>
      <c r="AR124" s="5796"/>
    </row>
    <row customHeight="1" ht="17.25">
      <c r="A125" s="1953"/>
      <c r="B125" s="5796"/>
      <c r="C125" s="1955"/>
      <c r="D125" s="1943"/>
      <c r="E125" s="1960"/>
      <c r="F125" s="1897"/>
      <c r="G125" s="1961"/>
      <c r="H125" s="1943"/>
      <c r="I125" s="1943"/>
      <c r="J125" s="1964"/>
      <c r="K125" s="1961"/>
      <c r="L125" s="1943"/>
      <c r="M125" s="1943"/>
      <c r="N125" s="2161"/>
      <c r="O125" s="1900"/>
      <c r="P125" s="2221" t="s">
        <v>104</v>
      </c>
      <c r="Q125" s="2221" t="s">
        <v>90</v>
      </c>
      <c r="R125" s="2615" t="s">
        <v>303</v>
      </c>
      <c r="S125" s="2519" t="s">
        <v>19</v>
      </c>
      <c r="T125" s="1915"/>
      <c r="U125" s="1915" t="s">
        <v>136</v>
      </c>
      <c r="V125" s="1547"/>
      <c r="W125" s="2614"/>
      <c r="X125" s="5796"/>
      <c r="Y125" s="1380"/>
      <c r="Z125" s="1380"/>
      <c r="AA125" s="1380"/>
      <c r="AB125" s="1380"/>
      <c r="AC125" s="5810" t="s">
        <v>296</v>
      </c>
      <c r="AD125" s="5810" t="s">
        <v>297</v>
      </c>
      <c r="AE125" s="5810" t="s">
        <v>298</v>
      </c>
      <c r="AF125" s="1380" t="s">
        <v>304</v>
      </c>
      <c r="AG125" s="1380" t="s">
        <v>305</v>
      </c>
      <c r="AH125" s="1380" t="str">
        <f>IF($E$121=0,"",$E$121)</f>
        <v>Тариф на водоотведение</v>
      </c>
      <c r="AI125" s="1380" t="str">
        <f>IF($G$121=0,"",$G$121)</f>
        <v>Водоотведение</v>
      </c>
      <c r="AJ125" s="1380" t="str">
        <f>IF($J$121=0,"",$J$121)</f>
        <v>Тариф на водоотведение</v>
      </c>
      <c r="AK125" s="1380" t="str">
        <f>IF($K$121="нет","без дифференциации",IF($N$121=0,"",$N$121))</f>
        <v>Территория 1</v>
      </c>
      <c r="AL125" s="1957" t="str">
        <f>IF($O$125="нет","без дифференциации",IF($R$125=0,"",$R$125))</f>
        <v>пгт. Краскино</v>
      </c>
      <c r="AM125" s="1957"/>
      <c r="AN125" s="1380">
        <f>$I$121</f>
        <v>1</v>
      </c>
      <c r="AO125" s="1380" t="str">
        <f>$I$121&amp;"."&amp;$M$121</f>
        <v>1.1</v>
      </c>
      <c r="AP125" s="1380" t="str">
        <f>$I$121&amp;"."&amp;$M$121&amp;"."&amp;$Q$125</f>
        <v>1.1.3</v>
      </c>
      <c r="AQ125" s="1380"/>
      <c r="AR125" s="5796"/>
    </row>
    <row customHeight="1" ht="17.25">
      <c r="A126" s="1953"/>
      <c r="B126" s="5796"/>
      <c r="C126" s="1958"/>
      <c r="D126" s="1943"/>
      <c r="E126" s="1960"/>
      <c r="F126" s="1897"/>
      <c r="G126" s="1961"/>
      <c r="H126" s="1943"/>
      <c r="I126" s="1943"/>
      <c r="J126" s="1964"/>
      <c r="K126" s="1961"/>
      <c r="L126" s="1943"/>
      <c r="M126" s="1943"/>
      <c r="N126" s="2161"/>
      <c r="O126" s="1900"/>
      <c r="P126" s="2221"/>
      <c r="Q126" s="2221"/>
      <c r="R126" s="2615"/>
      <c r="S126" s="2519"/>
      <c r="T126" s="1548"/>
      <c r="U126" s="1549"/>
      <c r="V126" s="1549"/>
      <c r="W126" s="2614"/>
      <c r="X126" s="5796"/>
      <c r="Y126" s="1372"/>
      <c r="Z126" s="1372"/>
      <c r="AA126" s="1372"/>
      <c r="AB126" s="1372"/>
      <c r="AC126" s="1372"/>
      <c r="AD126" s="1372"/>
      <c r="AE126" s="1372"/>
      <c r="AF126" s="1372"/>
      <c r="AG126" s="1372"/>
      <c r="AH126" s="1372"/>
      <c r="AI126" s="1372"/>
      <c r="AJ126" s="1372"/>
      <c r="AK126" s="1372"/>
      <c r="AL126" s="5796"/>
      <c r="AM126" s="5796"/>
      <c r="AN126" s="5796"/>
      <c r="AO126" s="5796"/>
      <c r="AP126" s="5796"/>
      <c r="AQ126" s="5796"/>
      <c r="AR126" s="5796"/>
    </row>
    <row customHeight="1" ht="17.25">
      <c r="A127" s="1953"/>
      <c r="B127" s="5796"/>
      <c r="C127" s="1955"/>
      <c r="D127" s="1943"/>
      <c r="E127" s="1960"/>
      <c r="F127" s="1897"/>
      <c r="G127" s="1961"/>
      <c r="H127" s="1943"/>
      <c r="I127" s="1943"/>
      <c r="J127" s="1964"/>
      <c r="K127" s="1961"/>
      <c r="L127" s="1943"/>
      <c r="M127" s="1943"/>
      <c r="N127" s="2161"/>
      <c r="O127" s="1900"/>
      <c r="P127" s="2221" t="s">
        <v>104</v>
      </c>
      <c r="Q127" s="2221" t="s">
        <v>91</v>
      </c>
      <c r="R127" s="2615" t="s">
        <v>306</v>
      </c>
      <c r="S127" s="2519" t="s">
        <v>19</v>
      </c>
      <c r="T127" s="1915"/>
      <c r="U127" s="1915" t="s">
        <v>136</v>
      </c>
      <c r="V127" s="1547"/>
      <c r="W127" s="2614"/>
      <c r="X127" s="5796"/>
      <c r="Y127" s="1380"/>
      <c r="Z127" s="1380"/>
      <c r="AA127" s="1380"/>
      <c r="AB127" s="1380"/>
      <c r="AC127" s="5810" t="s">
        <v>296</v>
      </c>
      <c r="AD127" s="5810" t="s">
        <v>297</v>
      </c>
      <c r="AE127" s="5810" t="s">
        <v>298</v>
      </c>
      <c r="AF127" s="1380" t="s">
        <v>307</v>
      </c>
      <c r="AG127" s="1380" t="s">
        <v>308</v>
      </c>
      <c r="AH127" s="1380" t="str">
        <f>IF($E$121=0,"",$E$121)</f>
        <v>Тариф на водоотведение</v>
      </c>
      <c r="AI127" s="1380" t="str">
        <f>IF($G$121=0,"",$G$121)</f>
        <v>Водоотведение</v>
      </c>
      <c r="AJ127" s="1380" t="str">
        <f>IF($J$121=0,"",$J$121)</f>
        <v>Тариф на водоотведение</v>
      </c>
      <c r="AK127" s="1380" t="str">
        <f>IF($K$121="нет","без дифференциации",IF($N$121=0,"",$N$121))</f>
        <v>Территория 1</v>
      </c>
      <c r="AL127" s="1957" t="str">
        <f>IF($O$127="нет","без дифференциации",IF($R$127=0,"",$R$127))</f>
        <v>пгт. Посьет</v>
      </c>
      <c r="AM127" s="1957"/>
      <c r="AN127" s="1380">
        <f>$I$121</f>
        <v>1</v>
      </c>
      <c r="AO127" s="1380" t="str">
        <f>$I$121&amp;"."&amp;$M$121</f>
        <v>1.1</v>
      </c>
      <c r="AP127" s="1380" t="str">
        <f>$I$121&amp;"."&amp;$M$121&amp;"."&amp;$Q$127</f>
        <v>1.1.4</v>
      </c>
      <c r="AQ127" s="1380"/>
      <c r="AR127" s="5796"/>
    </row>
    <row customHeight="1" ht="17.25">
      <c r="A128" s="1953"/>
      <c r="B128" s="5796"/>
      <c r="C128" s="1958"/>
      <c r="D128" s="1943"/>
      <c r="E128" s="1960"/>
      <c r="F128" s="1897"/>
      <c r="G128" s="1961"/>
      <c r="H128" s="1943"/>
      <c r="I128" s="1943"/>
      <c r="J128" s="1964"/>
      <c r="K128" s="1961"/>
      <c r="L128" s="1943"/>
      <c r="M128" s="1943"/>
      <c r="N128" s="2161"/>
      <c r="O128" s="1900"/>
      <c r="P128" s="2221"/>
      <c r="Q128" s="2221"/>
      <c r="R128" s="2615"/>
      <c r="S128" s="2519"/>
      <c r="T128" s="1548"/>
      <c r="U128" s="1549"/>
      <c r="V128" s="1549"/>
      <c r="W128" s="2614"/>
      <c r="X128" s="5796"/>
      <c r="Y128" s="1372"/>
      <c r="Z128" s="1372"/>
      <c r="AA128" s="1372"/>
      <c r="AB128" s="1372"/>
      <c r="AC128" s="1372"/>
      <c r="AD128" s="1372"/>
      <c r="AE128" s="1372"/>
      <c r="AF128" s="1372"/>
      <c r="AG128" s="1372"/>
      <c r="AH128" s="1372"/>
      <c r="AI128" s="1372"/>
      <c r="AJ128" s="1372"/>
      <c r="AK128" s="1372"/>
      <c r="AL128" s="5796"/>
      <c r="AM128" s="5796"/>
      <c r="AN128" s="5796"/>
      <c r="AO128" s="5796"/>
      <c r="AP128" s="5796"/>
      <c r="AQ128" s="5796"/>
      <c r="AR128" s="5796"/>
    </row>
    <row customHeight="1" ht="17.25">
      <c r="A129" s="1953"/>
      <c r="B129" s="5796"/>
      <c r="C129" s="1955"/>
      <c r="D129" s="1943"/>
      <c r="E129" s="1960"/>
      <c r="F129" s="1897"/>
      <c r="G129" s="1961"/>
      <c r="H129" s="1943"/>
      <c r="I129" s="1943"/>
      <c r="J129" s="1964"/>
      <c r="K129" s="1961"/>
      <c r="L129" s="1943"/>
      <c r="M129" s="1943"/>
      <c r="N129" s="2161"/>
      <c r="O129" s="1900"/>
      <c r="P129" s="2221" t="s">
        <v>104</v>
      </c>
      <c r="Q129" s="2221" t="s">
        <v>116</v>
      </c>
      <c r="R129" s="2615" t="s">
        <v>309</v>
      </c>
      <c r="S129" s="2519" t="s">
        <v>19</v>
      </c>
      <c r="T129" s="1915"/>
      <c r="U129" s="1915" t="s">
        <v>136</v>
      </c>
      <c r="V129" s="1547"/>
      <c r="W129" s="2614"/>
      <c r="X129" s="5796"/>
      <c r="Y129" s="1380"/>
      <c r="Z129" s="1380"/>
      <c r="AA129" s="1380"/>
      <c r="AB129" s="1380"/>
      <c r="AC129" s="5810" t="s">
        <v>296</v>
      </c>
      <c r="AD129" s="5810" t="s">
        <v>297</v>
      </c>
      <c r="AE129" s="5810" t="s">
        <v>298</v>
      </c>
      <c r="AF129" s="1380" t="s">
        <v>310</v>
      </c>
      <c r="AG129" s="1380" t="s">
        <v>311</v>
      </c>
      <c r="AH129" s="1380" t="str">
        <f>IF($E$121=0,"",$E$121)</f>
        <v>Тариф на водоотведение</v>
      </c>
      <c r="AI129" s="1380" t="str">
        <f>IF($G$121=0,"",$G$121)</f>
        <v>Водоотведение</v>
      </c>
      <c r="AJ129" s="1380" t="str">
        <f>IF($J$121=0,"",$J$121)</f>
        <v>Тариф на водоотведение</v>
      </c>
      <c r="AK129" s="1380" t="str">
        <f>IF($K$121="нет","без дифференциации",IF($N$121=0,"",$N$121))</f>
        <v>Территория 1</v>
      </c>
      <c r="AL129" s="1957" t="str">
        <f>IF($O$129="нет","без дифференциации",IF($R$129=0,"",$R$129))</f>
        <v>пгт. Приморский</v>
      </c>
      <c r="AM129" s="1957"/>
      <c r="AN129" s="1380">
        <f>$I$121</f>
        <v>1</v>
      </c>
      <c r="AO129" s="1380" t="str">
        <f>$I$121&amp;"."&amp;$M$121</f>
        <v>1.1</v>
      </c>
      <c r="AP129" s="1380" t="str">
        <f>$I$121&amp;"."&amp;$M$121&amp;"."&amp;$Q$129</f>
        <v>1.1.5</v>
      </c>
      <c r="AQ129" s="1380"/>
      <c r="AR129" s="5796"/>
    </row>
    <row customHeight="1" ht="17.25">
      <c r="A130" s="1953"/>
      <c r="B130" s="5796"/>
      <c r="C130" s="1958"/>
      <c r="D130" s="1943"/>
      <c r="E130" s="1960"/>
      <c r="F130" s="1897"/>
      <c r="G130" s="1961"/>
      <c r="H130" s="1943"/>
      <c r="I130" s="1943"/>
      <c r="J130" s="1964"/>
      <c r="K130" s="1961"/>
      <c r="L130" s="1943"/>
      <c r="M130" s="1943"/>
      <c r="N130" s="2161"/>
      <c r="O130" s="1900"/>
      <c r="P130" s="2221"/>
      <c r="Q130" s="2221"/>
      <c r="R130" s="2615"/>
      <c r="S130" s="2519"/>
      <c r="T130" s="1548"/>
      <c r="U130" s="1549"/>
      <c r="V130" s="1549"/>
      <c r="W130" s="2614"/>
      <c r="X130" s="5796"/>
      <c r="Y130" s="1372"/>
      <c r="Z130" s="1372"/>
      <c r="AA130" s="1372"/>
      <c r="AB130" s="1372"/>
      <c r="AC130" s="1372"/>
      <c r="AD130" s="1372"/>
      <c r="AE130" s="1372"/>
      <c r="AF130" s="1372"/>
      <c r="AG130" s="1372"/>
      <c r="AH130" s="1372"/>
      <c r="AI130" s="1372"/>
      <c r="AJ130" s="1372"/>
      <c r="AK130" s="1372"/>
      <c r="AL130" s="5796"/>
      <c r="AM130" s="5796"/>
      <c r="AN130" s="5796"/>
      <c r="AO130" s="5796"/>
      <c r="AP130" s="5796"/>
      <c r="AQ130" s="5796"/>
      <c r="AR130" s="5796"/>
    </row>
    <row s="5604" customFormat="1" customHeight="1" ht="17.25">
      <c r="A131" s="434"/>
      <c r="C131" s="322"/>
      <c r="D131" s="2248"/>
      <c r="E131" s="2256"/>
      <c r="F131" s="2259"/>
      <c r="G131" s="5783"/>
      <c r="H131" s="5815"/>
      <c r="I131" s="5815"/>
      <c r="J131" s="5816"/>
      <c r="K131" s="5792"/>
      <c r="L131" s="5815"/>
      <c r="M131" s="5815"/>
      <c r="N131" s="5817"/>
      <c r="O131" s="5818"/>
      <c r="P131" s="5819"/>
      <c r="Q131" s="5820"/>
      <c r="R131" s="5821" t="s">
        <v>312</v>
      </c>
      <c r="S131" s="5822"/>
      <c r="T131" s="5823"/>
      <c r="U131" s="5824"/>
      <c r="V131" s="5825"/>
      <c r="W131" s="5826"/>
      <c r="Y131" s="1380"/>
      <c r="Z131" s="1380"/>
      <c r="AA131" s="1380"/>
      <c r="AB131" s="1380"/>
      <c r="AC131" s="1380"/>
      <c r="AD131" s="1380"/>
      <c r="AE131" s="1380"/>
      <c r="AF131" s="1380"/>
      <c r="AG131" s="1380"/>
      <c r="AH131" s="1380"/>
      <c r="AI131" s="1380"/>
      <c r="AJ131" s="1380"/>
      <c r="AK131" s="1380"/>
      <c r="AL131" s="1380"/>
      <c r="AM131" s="1380"/>
      <c r="AN131" s="1380"/>
      <c r="AO131" s="1380"/>
      <c r="AP131" s="1380"/>
      <c r="AQ131" s="1380"/>
      <c r="AR131" s="1580">
        <v>0</v>
      </c>
    </row>
    <row customHeight="1" ht="17.25">
      <c r="A132" s="1953"/>
      <c r="B132" s="5796"/>
      <c r="C132" s="1955"/>
      <c r="D132" s="1943"/>
      <c r="E132" s="1960"/>
      <c r="F132" s="1897"/>
      <c r="G132" s="1961"/>
      <c r="H132" s="1943"/>
      <c r="I132" s="1943"/>
      <c r="J132" s="1964"/>
      <c r="K132" s="1961"/>
      <c r="L132" s="2221" t="s">
        <v>104</v>
      </c>
      <c r="M132" s="2221" t="s">
        <v>103</v>
      </c>
      <c r="N132" s="2617" t="str">
        <f>IF(Z132="","",INDEX(TERRITORY_MR_LIST,MATCH(Z132,TERRITORY_LIST_ID,0)))</f>
        <v>Территория 2</v>
      </c>
      <c r="O132" s="2298" t="s">
        <v>66</v>
      </c>
      <c r="P132" s="2221"/>
      <c r="Q132" s="2221" t="s">
        <v>136</v>
      </c>
      <c r="R132" s="2615" t="s">
        <v>313</v>
      </c>
      <c r="S132" s="2519" t="s">
        <v>19</v>
      </c>
      <c r="T132" s="1915"/>
      <c r="U132" s="1915" t="s">
        <v>136</v>
      </c>
      <c r="V132" s="1547"/>
      <c r="W132" s="2614"/>
      <c r="X132" s="5796"/>
      <c r="Y132" s="1380"/>
      <c r="Z132" s="1380" t="s">
        <v>105</v>
      </c>
      <c r="AA132" s="1380"/>
      <c r="AB132" s="1380"/>
      <c r="AC132" s="5810" t="s">
        <v>296</v>
      </c>
      <c r="AD132" s="5810" t="s">
        <v>297</v>
      </c>
      <c r="AE132" s="1380" t="s">
        <v>314</v>
      </c>
      <c r="AF132" s="1380" t="s">
        <v>315</v>
      </c>
      <c r="AG132" s="1380" t="s">
        <v>316</v>
      </c>
      <c r="AH132" s="1380" t="str">
        <f>IF($E$121=0,"",$E$121)</f>
        <v>Тариф на водоотведение</v>
      </c>
      <c r="AI132" s="1380" t="str">
        <f>IF($G$121=0,"",$G$121)</f>
        <v>Водоотведение</v>
      </c>
      <c r="AJ132" s="1380" t="str">
        <f>IF($J$121=0,"",$J$121)</f>
        <v>Тариф на водоотведение</v>
      </c>
      <c r="AK132" s="1380" t="str">
        <f>IF($K$132="нет","без дифференциации",IF($N$132=0,"",$N$132))</f>
        <v>Территория 2</v>
      </c>
      <c r="AL132" s="1957" t="str">
        <f>IF($O$132="нет","без дифференциации",IF($R$132=0,"",$R$132))</f>
        <v>с. Многоудобное</v>
      </c>
      <c r="AM132" s="1957"/>
      <c r="AN132" s="1380">
        <f>$I$121</f>
        <v>1</v>
      </c>
      <c r="AO132" s="1380" t="str">
        <f>$I$121&amp;"."&amp;$M$132</f>
        <v>1.2</v>
      </c>
      <c r="AP132" s="1380" t="str">
        <f>$I$121&amp;"."&amp;$M$132&amp;"."&amp;$Q$132</f>
        <v>1.2.1</v>
      </c>
      <c r="AQ132" s="1380"/>
      <c r="AR132" s="5796"/>
    </row>
    <row customHeight="1" ht="17.25">
      <c r="A133" s="1953"/>
      <c r="B133" s="5796"/>
      <c r="C133" s="1958"/>
      <c r="D133" s="1943"/>
      <c r="E133" s="1960"/>
      <c r="F133" s="1897"/>
      <c r="G133" s="1961"/>
      <c r="H133" s="1943"/>
      <c r="I133" s="1943"/>
      <c r="J133" s="1964"/>
      <c r="K133" s="1961"/>
      <c r="L133" s="2221"/>
      <c r="M133" s="2221"/>
      <c r="N133" s="2617"/>
      <c r="O133" s="2299"/>
      <c r="P133" s="2221"/>
      <c r="Q133" s="2221"/>
      <c r="R133" s="2615"/>
      <c r="S133" s="2519"/>
      <c r="T133" s="1548"/>
      <c r="U133" s="1549"/>
      <c r="V133" s="1549"/>
      <c r="W133" s="2614"/>
      <c r="X133" s="5796"/>
      <c r="Y133" s="1372"/>
      <c r="Z133" s="1372"/>
      <c r="AA133" s="1372"/>
      <c r="AB133" s="1372"/>
      <c r="AC133" s="1372"/>
      <c r="AD133" s="1372"/>
      <c r="AE133" s="1372"/>
      <c r="AF133" s="1372"/>
      <c r="AG133" s="1372"/>
      <c r="AH133" s="1372"/>
      <c r="AI133" s="1372"/>
      <c r="AJ133" s="1372"/>
      <c r="AK133" s="1372"/>
      <c r="AL133" s="5796"/>
      <c r="AM133" s="5796"/>
      <c r="AN133" s="5796"/>
      <c r="AO133" s="5796"/>
      <c r="AP133" s="5796"/>
      <c r="AQ133" s="5796"/>
      <c r="AR133" s="5796"/>
    </row>
    <row customHeight="1" ht="17.25">
      <c r="A134" s="1953"/>
      <c r="B134" s="5796"/>
      <c r="C134" s="1955"/>
      <c r="D134" s="1943"/>
      <c r="E134" s="1960"/>
      <c r="F134" s="1897"/>
      <c r="G134" s="1961"/>
      <c r="H134" s="1943"/>
      <c r="I134" s="1943"/>
      <c r="J134" s="1964"/>
      <c r="K134" s="1961"/>
      <c r="L134" s="1943"/>
      <c r="M134" s="1943"/>
      <c r="N134" s="2161"/>
      <c r="O134" s="1900"/>
      <c r="P134" s="2221" t="s">
        <v>104</v>
      </c>
      <c r="Q134" s="2221" t="s">
        <v>103</v>
      </c>
      <c r="R134" s="2615" t="s">
        <v>317</v>
      </c>
      <c r="S134" s="2519" t="s">
        <v>19</v>
      </c>
      <c r="T134" s="1915"/>
      <c r="U134" s="1915" t="s">
        <v>136</v>
      </c>
      <c r="V134" s="1547"/>
      <c r="W134" s="2614"/>
      <c r="X134" s="5796"/>
      <c r="Y134" s="1380"/>
      <c r="Z134" s="1380"/>
      <c r="AA134" s="1380"/>
      <c r="AB134" s="1380"/>
      <c r="AC134" s="5810" t="s">
        <v>296</v>
      </c>
      <c r="AD134" s="5810" t="s">
        <v>297</v>
      </c>
      <c r="AE134" s="5810" t="s">
        <v>314</v>
      </c>
      <c r="AF134" s="1380" t="s">
        <v>318</v>
      </c>
      <c r="AG134" s="1380" t="s">
        <v>319</v>
      </c>
      <c r="AH134" s="1380" t="str">
        <f>IF($E$121=0,"",$E$121)</f>
        <v>Тариф на водоотведение</v>
      </c>
      <c r="AI134" s="1380" t="str">
        <f>IF($G$121=0,"",$G$121)</f>
        <v>Водоотведение</v>
      </c>
      <c r="AJ134" s="1380" t="str">
        <f>IF($J$121=0,"",$J$121)</f>
        <v>Тариф на водоотведение</v>
      </c>
      <c r="AK134" s="1380" t="str">
        <f>IF($K$132="нет","без дифференциации",IF($N$132=0,"",$N$132))</f>
        <v>Территория 2</v>
      </c>
      <c r="AL134" s="1957" t="str">
        <f>IF($O$134="нет","без дифференциации",IF($R$134=0,"",$R$134))</f>
        <v>с. Романовка</v>
      </c>
      <c r="AM134" s="1957"/>
      <c r="AN134" s="1380">
        <f>$I$121</f>
        <v>1</v>
      </c>
      <c r="AO134" s="1380" t="str">
        <f>$I$121&amp;"."&amp;$M$132</f>
        <v>1.2</v>
      </c>
      <c r="AP134" s="1380" t="str">
        <f>$I$121&amp;"."&amp;$M$132&amp;"."&amp;$Q$134</f>
        <v>1.2.2</v>
      </c>
      <c r="AQ134" s="1380"/>
      <c r="AR134" s="5796"/>
    </row>
    <row customHeight="1" ht="17.25">
      <c r="A135" s="1953"/>
      <c r="B135" s="5796"/>
      <c r="C135" s="1958"/>
      <c r="D135" s="1943"/>
      <c r="E135" s="1960"/>
      <c r="F135" s="1897"/>
      <c r="G135" s="1961"/>
      <c r="H135" s="1943"/>
      <c r="I135" s="1943"/>
      <c r="J135" s="1964"/>
      <c r="K135" s="1961"/>
      <c r="L135" s="1943"/>
      <c r="M135" s="1943"/>
      <c r="N135" s="2161"/>
      <c r="O135" s="1900"/>
      <c r="P135" s="2221"/>
      <c r="Q135" s="2221"/>
      <c r="R135" s="2615"/>
      <c r="S135" s="2519"/>
      <c r="T135" s="1548"/>
      <c r="U135" s="1549"/>
      <c r="V135" s="1549"/>
      <c r="W135" s="2614"/>
      <c r="X135" s="5796"/>
      <c r="Y135" s="1372"/>
      <c r="Z135" s="1372"/>
      <c r="AA135" s="1372"/>
      <c r="AB135" s="1372"/>
      <c r="AC135" s="1372"/>
      <c r="AD135" s="1372"/>
      <c r="AE135" s="1372"/>
      <c r="AF135" s="1372"/>
      <c r="AG135" s="1372"/>
      <c r="AH135" s="1372"/>
      <c r="AI135" s="1372"/>
      <c r="AJ135" s="1372"/>
      <c r="AK135" s="1372"/>
      <c r="AL135" s="5796"/>
      <c r="AM135" s="5796"/>
      <c r="AN135" s="5796"/>
      <c r="AO135" s="5796"/>
      <c r="AP135" s="5796"/>
      <c r="AQ135" s="5796"/>
      <c r="AR135" s="5796"/>
    </row>
    <row customHeight="1" ht="17.25">
      <c r="A136" s="1953"/>
      <c r="B136" s="5796"/>
      <c r="C136" s="1958"/>
      <c r="D136" s="1943"/>
      <c r="E136" s="1960"/>
      <c r="F136" s="1897"/>
      <c r="G136" s="1961"/>
      <c r="H136" s="1943"/>
      <c r="I136" s="1943"/>
      <c r="J136" s="1964"/>
      <c r="K136" s="1961"/>
      <c r="L136" s="2616"/>
      <c r="M136" s="2616"/>
      <c r="N136" s="2618"/>
      <c r="O136" s="2225"/>
      <c r="P136" s="430"/>
      <c r="Q136" s="431"/>
      <c r="R136" s="431" t="s">
        <v>312</v>
      </c>
      <c r="S136" s="1959"/>
      <c r="T136" s="1959"/>
      <c r="U136" s="1959"/>
      <c r="V136" s="1959"/>
      <c r="W136" s="1546"/>
      <c r="X136" s="5796"/>
      <c r="Y136" s="1372"/>
      <c r="Z136" s="1372"/>
      <c r="AA136" s="1372"/>
      <c r="AB136" s="1372"/>
      <c r="AC136" s="1372"/>
      <c r="AD136" s="1372"/>
      <c r="AE136" s="1372"/>
      <c r="AF136" s="1372"/>
      <c r="AG136" s="1372"/>
      <c r="AH136" s="1372"/>
      <c r="AI136" s="1372"/>
      <c r="AJ136" s="1372"/>
      <c r="AK136" s="1372"/>
      <c r="AL136" s="5796"/>
      <c r="AM136" s="5796"/>
      <c r="AN136" s="5796"/>
      <c r="AO136" s="5796"/>
      <c r="AP136" s="5796"/>
      <c r="AQ136" s="5796"/>
      <c r="AR136" s="5796"/>
    </row>
    <row customHeight="1" ht="17.25">
      <c r="A137" s="1953"/>
      <c r="B137" s="5796"/>
      <c r="C137" s="1955"/>
      <c r="D137" s="1943"/>
      <c r="E137" s="1960"/>
      <c r="F137" s="1897"/>
      <c r="G137" s="1961"/>
      <c r="H137" s="1943"/>
      <c r="I137" s="1943"/>
      <c r="J137" s="1964"/>
      <c r="K137" s="1961"/>
      <c r="L137" s="2221" t="s">
        <v>104</v>
      </c>
      <c r="M137" s="2221" t="s">
        <v>90</v>
      </c>
      <c r="N137" s="2617" t="str">
        <f>IF(Z137="","",INDEX(TERRITORY_MR_LIST,MATCH(Z137,TERRITORY_LIST_ID,0)))</f>
        <v>Территория 3</v>
      </c>
      <c r="O137" s="2298" t="s">
        <v>66</v>
      </c>
      <c r="P137" s="2221"/>
      <c r="Q137" s="2221" t="s">
        <v>136</v>
      </c>
      <c r="R137" s="2615" t="s">
        <v>320</v>
      </c>
      <c r="S137" s="2519" t="s">
        <v>19</v>
      </c>
      <c r="T137" s="1915"/>
      <c r="U137" s="1915" t="s">
        <v>136</v>
      </c>
      <c r="V137" s="1547"/>
      <c r="W137" s="2614"/>
      <c r="X137" s="5796"/>
      <c r="Y137" s="1380"/>
      <c r="Z137" s="1380" t="s">
        <v>109</v>
      </c>
      <c r="AA137" s="1380"/>
      <c r="AB137" s="1380"/>
      <c r="AC137" s="5810" t="s">
        <v>296</v>
      </c>
      <c r="AD137" s="5810" t="s">
        <v>297</v>
      </c>
      <c r="AE137" s="1380" t="s">
        <v>321</v>
      </c>
      <c r="AF137" s="1380" t="s">
        <v>322</v>
      </c>
      <c r="AG137" s="1380" t="s">
        <v>323</v>
      </c>
      <c r="AH137" s="1380" t="str">
        <f>IF($E$121=0,"",$E$121)</f>
        <v>Тариф на водоотведение</v>
      </c>
      <c r="AI137" s="1380" t="str">
        <f>IF($G$121=0,"",$G$121)</f>
        <v>Водоотведение</v>
      </c>
      <c r="AJ137" s="1380" t="str">
        <f>IF($J$121=0,"",$J$121)</f>
        <v>Тариф на водоотведение</v>
      </c>
      <c r="AK137" s="1380" t="str">
        <f>IF($K$137="нет","без дифференциации",IF($N$137=0,"",$N$137))</f>
        <v>Территория 3</v>
      </c>
      <c r="AL137" s="1957" t="str">
        <f>IF($O$137="нет","без дифференциации",IF($R$137=0,"",$R$137))</f>
        <v>Кавалеровский МО</v>
      </c>
      <c r="AM137" s="1957"/>
      <c r="AN137" s="1380">
        <f>$I$121</f>
        <v>1</v>
      </c>
      <c r="AO137" s="1380" t="str">
        <f>$I$121&amp;"."&amp;$M$137</f>
        <v>1.3</v>
      </c>
      <c r="AP137" s="1380" t="str">
        <f>$I$121&amp;"."&amp;$M$137&amp;"."&amp;$Q$137</f>
        <v>1.3.1</v>
      </c>
      <c r="AQ137" s="1380"/>
      <c r="AR137" s="5796"/>
    </row>
    <row customHeight="1" ht="17.25">
      <c r="A138" s="1953"/>
      <c r="B138" s="5796"/>
      <c r="C138" s="1958"/>
      <c r="D138" s="1943"/>
      <c r="E138" s="1960"/>
      <c r="F138" s="1897"/>
      <c r="G138" s="1961"/>
      <c r="H138" s="1943"/>
      <c r="I138" s="1943"/>
      <c r="J138" s="1964"/>
      <c r="K138" s="1961"/>
      <c r="L138" s="2221"/>
      <c r="M138" s="2221"/>
      <c r="N138" s="2617"/>
      <c r="O138" s="2299"/>
      <c r="P138" s="2221"/>
      <c r="Q138" s="2221"/>
      <c r="R138" s="2615"/>
      <c r="S138" s="2519"/>
      <c r="T138" s="1548"/>
      <c r="U138" s="1549"/>
      <c r="V138" s="1549"/>
      <c r="W138" s="2614"/>
      <c r="X138" s="5796"/>
      <c r="Y138" s="1372"/>
      <c r="Z138" s="1372"/>
      <c r="AA138" s="1372"/>
      <c r="AB138" s="1372"/>
      <c r="AC138" s="1372"/>
      <c r="AD138" s="1372"/>
      <c r="AE138" s="1372"/>
      <c r="AF138" s="1372"/>
      <c r="AG138" s="1372"/>
      <c r="AH138" s="1372"/>
      <c r="AI138" s="1372"/>
      <c r="AJ138" s="1372"/>
      <c r="AK138" s="1372"/>
      <c r="AL138" s="5796"/>
      <c r="AM138" s="5796"/>
      <c r="AN138" s="5796"/>
      <c r="AO138" s="5796"/>
      <c r="AP138" s="5796"/>
      <c r="AQ138" s="5796"/>
      <c r="AR138" s="5796"/>
    </row>
    <row customHeight="1" ht="17.25">
      <c r="A139" s="1953"/>
      <c r="B139" s="5796"/>
      <c r="C139" s="1958"/>
      <c r="D139" s="1943"/>
      <c r="E139" s="1960"/>
      <c r="F139" s="1897"/>
      <c r="G139" s="1961"/>
      <c r="H139" s="1943"/>
      <c r="I139" s="1943"/>
      <c r="J139" s="1964"/>
      <c r="K139" s="1961"/>
      <c r="L139" s="2616"/>
      <c r="M139" s="2616"/>
      <c r="N139" s="2618"/>
      <c r="O139" s="2225"/>
      <c r="P139" s="430"/>
      <c r="Q139" s="431"/>
      <c r="R139" s="431" t="s">
        <v>312</v>
      </c>
      <c r="S139" s="1959"/>
      <c r="T139" s="1959"/>
      <c r="U139" s="1959"/>
      <c r="V139" s="1959"/>
      <c r="W139" s="1546"/>
      <c r="X139" s="5796"/>
      <c r="Y139" s="1372"/>
      <c r="Z139" s="1372"/>
      <c r="AA139" s="1372"/>
      <c r="AB139" s="1372"/>
      <c r="AC139" s="1372"/>
      <c r="AD139" s="1372"/>
      <c r="AE139" s="1372"/>
      <c r="AF139" s="1372"/>
      <c r="AG139" s="1372"/>
      <c r="AH139" s="1372"/>
      <c r="AI139" s="1372"/>
      <c r="AJ139" s="1372"/>
      <c r="AK139" s="1372"/>
      <c r="AL139" s="5796"/>
      <c r="AM139" s="5796"/>
      <c r="AN139" s="5796"/>
      <c r="AO139" s="5796"/>
      <c r="AP139" s="5796"/>
      <c r="AQ139" s="5796"/>
      <c r="AR139" s="5796"/>
    </row>
    <row customHeight="1" ht="17.25">
      <c r="A140" s="1953"/>
      <c r="B140" s="5796"/>
      <c r="C140" s="1955"/>
      <c r="D140" s="1943"/>
      <c r="E140" s="1960"/>
      <c r="F140" s="1897"/>
      <c r="G140" s="1961"/>
      <c r="H140" s="1943"/>
      <c r="I140" s="1943"/>
      <c r="J140" s="1964"/>
      <c r="K140" s="1961"/>
      <c r="L140" s="2221" t="s">
        <v>104</v>
      </c>
      <c r="M140" s="2221" t="s">
        <v>91</v>
      </c>
      <c r="N140" s="2617" t="str">
        <f>IF(Z140="","",INDEX(TERRITORY_MR_LIST,MATCH(Z140,TERRITORY_LIST_ID,0)))</f>
        <v>Территория 4</v>
      </c>
      <c r="O140" s="2298" t="s">
        <v>66</v>
      </c>
      <c r="P140" s="2221"/>
      <c r="Q140" s="2221" t="s">
        <v>136</v>
      </c>
      <c r="R140" s="2615" t="s">
        <v>324</v>
      </c>
      <c r="S140" s="2519" t="s">
        <v>19</v>
      </c>
      <c r="T140" s="1915"/>
      <c r="U140" s="1915" t="s">
        <v>136</v>
      </c>
      <c r="V140" s="1547"/>
      <c r="W140" s="2614"/>
      <c r="X140" s="5796"/>
      <c r="Y140" s="1380"/>
      <c r="Z140" s="1380" t="s">
        <v>113</v>
      </c>
      <c r="AA140" s="1380"/>
      <c r="AB140" s="1380"/>
      <c r="AC140" s="5810" t="s">
        <v>296</v>
      </c>
      <c r="AD140" s="5810" t="s">
        <v>297</v>
      </c>
      <c r="AE140" s="1380" t="s">
        <v>325</v>
      </c>
      <c r="AF140" s="1380" t="s">
        <v>326</v>
      </c>
      <c r="AG140" s="1380" t="s">
        <v>327</v>
      </c>
      <c r="AH140" s="1380" t="str">
        <f>IF($E$121=0,"",$E$121)</f>
        <v>Тариф на водоотведение</v>
      </c>
      <c r="AI140" s="1380" t="str">
        <f>IF($G$121=0,"",$G$121)</f>
        <v>Водоотведение</v>
      </c>
      <c r="AJ140" s="1380" t="str">
        <f>IF($J$121=0,"",$J$121)</f>
        <v>Тариф на водоотведение</v>
      </c>
      <c r="AK140" s="1380" t="str">
        <f>IF($K$140="нет","без дифференциации",IF($N$140=0,"",$N$140))</f>
        <v>Территория 4</v>
      </c>
      <c r="AL140" s="1957" t="str">
        <f>IF($O$140="нет","без дифференциации",IF($R$140=0,"",$R$140))</f>
        <v>Дальнегорский ГО</v>
      </c>
      <c r="AM140" s="1957"/>
      <c r="AN140" s="1380">
        <f>$I$121</f>
        <v>1</v>
      </c>
      <c r="AO140" s="1380" t="str">
        <f>$I$121&amp;"."&amp;$M$140</f>
        <v>1.4</v>
      </c>
      <c r="AP140" s="1380" t="str">
        <f>$I$121&amp;"."&amp;$M$140&amp;"."&amp;$Q$140</f>
        <v>1.4.1</v>
      </c>
      <c r="AQ140" s="1380"/>
      <c r="AR140" s="5796"/>
    </row>
    <row customHeight="1" ht="17.25">
      <c r="A141" s="1953"/>
      <c r="B141" s="5796"/>
      <c r="C141" s="1958"/>
      <c r="D141" s="1943"/>
      <c r="E141" s="1960"/>
      <c r="F141" s="1897"/>
      <c r="G141" s="1961"/>
      <c r="H141" s="1943"/>
      <c r="I141" s="1943"/>
      <c r="J141" s="1964"/>
      <c r="K141" s="1961"/>
      <c r="L141" s="2221"/>
      <c r="M141" s="2221"/>
      <c r="N141" s="2617"/>
      <c r="O141" s="2299"/>
      <c r="P141" s="2221"/>
      <c r="Q141" s="2221"/>
      <c r="R141" s="2615"/>
      <c r="S141" s="2519"/>
      <c r="T141" s="1548"/>
      <c r="U141" s="1549"/>
      <c r="V141" s="1549"/>
      <c r="W141" s="2614"/>
      <c r="X141" s="5796"/>
      <c r="Y141" s="1372"/>
      <c r="Z141" s="1372"/>
      <c r="AA141" s="1372"/>
      <c r="AB141" s="1372"/>
      <c r="AC141" s="1372"/>
      <c r="AD141" s="1372"/>
      <c r="AE141" s="1372"/>
      <c r="AF141" s="1372"/>
      <c r="AG141" s="1372"/>
      <c r="AH141" s="1372"/>
      <c r="AI141" s="1372"/>
      <c r="AJ141" s="1372"/>
      <c r="AK141" s="1372"/>
      <c r="AL141" s="5796"/>
      <c r="AM141" s="5796"/>
      <c r="AN141" s="5796"/>
      <c r="AO141" s="5796"/>
      <c r="AP141" s="5796"/>
      <c r="AQ141" s="5796"/>
      <c r="AR141" s="5796"/>
    </row>
    <row customHeight="1" ht="17.25">
      <c r="A142" s="1953"/>
      <c r="B142" s="5796"/>
      <c r="C142" s="1958"/>
      <c r="D142" s="1943"/>
      <c r="E142" s="1960"/>
      <c r="F142" s="1897"/>
      <c r="G142" s="1961"/>
      <c r="H142" s="1943"/>
      <c r="I142" s="1943"/>
      <c r="J142" s="1964"/>
      <c r="K142" s="1961"/>
      <c r="L142" s="2616"/>
      <c r="M142" s="2616"/>
      <c r="N142" s="2618"/>
      <c r="O142" s="2225"/>
      <c r="P142" s="430"/>
      <c r="Q142" s="431"/>
      <c r="R142" s="431" t="s">
        <v>312</v>
      </c>
      <c r="S142" s="1959"/>
      <c r="T142" s="1959"/>
      <c r="U142" s="1959"/>
      <c r="V142" s="1959"/>
      <c r="W142" s="1546"/>
      <c r="X142" s="5796"/>
      <c r="Y142" s="1372"/>
      <c r="Z142" s="1372"/>
      <c r="AA142" s="1372"/>
      <c r="AB142" s="1372"/>
      <c r="AC142" s="1372"/>
      <c r="AD142" s="1372"/>
      <c r="AE142" s="1372"/>
      <c r="AF142" s="1372"/>
      <c r="AG142" s="1372"/>
      <c r="AH142" s="1372"/>
      <c r="AI142" s="1372"/>
      <c r="AJ142" s="1372"/>
      <c r="AK142" s="1372"/>
      <c r="AL142" s="5796"/>
      <c r="AM142" s="5796"/>
      <c r="AN142" s="5796"/>
      <c r="AO142" s="5796"/>
      <c r="AP142" s="5796"/>
      <c r="AQ142" s="5796"/>
      <c r="AR142" s="5796"/>
    </row>
    <row customHeight="1" ht="17.25">
      <c r="A143" s="1953"/>
      <c r="B143" s="5796"/>
      <c r="C143" s="1955"/>
      <c r="D143" s="1943"/>
      <c r="E143" s="1960"/>
      <c r="F143" s="1897"/>
      <c r="G143" s="1961"/>
      <c r="H143" s="1943"/>
      <c r="I143" s="1943"/>
      <c r="J143" s="1964"/>
      <c r="K143" s="1961"/>
      <c r="L143" s="2221" t="s">
        <v>104</v>
      </c>
      <c r="M143" s="2221" t="s">
        <v>116</v>
      </c>
      <c r="N143" s="2617" t="str">
        <f>IF(Z143="","",INDEX(TERRITORY_MR_LIST,MATCH(Z143,TERRITORY_LIST_ID,0)))</f>
        <v>Территория 5</v>
      </c>
      <c r="O143" s="2298" t="s">
        <v>66</v>
      </c>
      <c r="P143" s="2221"/>
      <c r="Q143" s="2221" t="s">
        <v>136</v>
      </c>
      <c r="R143" s="2615" t="s">
        <v>328</v>
      </c>
      <c r="S143" s="2519" t="s">
        <v>19</v>
      </c>
      <c r="T143" s="1915"/>
      <c r="U143" s="1915" t="s">
        <v>136</v>
      </c>
      <c r="V143" s="1547"/>
      <c r="W143" s="2614"/>
      <c r="X143" s="5796"/>
      <c r="Y143" s="1380"/>
      <c r="Z143" s="1380" t="s">
        <v>117</v>
      </c>
      <c r="AA143" s="1380"/>
      <c r="AB143" s="1380"/>
      <c r="AC143" s="5810" t="s">
        <v>296</v>
      </c>
      <c r="AD143" s="5810" t="s">
        <v>297</v>
      </c>
      <c r="AE143" s="1380" t="s">
        <v>329</v>
      </c>
      <c r="AF143" s="1380" t="s">
        <v>330</v>
      </c>
      <c r="AG143" s="1380" t="s">
        <v>331</v>
      </c>
      <c r="AH143" s="1380" t="str">
        <f>IF($E$121=0,"",$E$121)</f>
        <v>Тариф на водоотведение</v>
      </c>
      <c r="AI143" s="1380" t="str">
        <f>IF($G$121=0,"",$G$121)</f>
        <v>Водоотведение</v>
      </c>
      <c r="AJ143" s="1380" t="str">
        <f>IF($J$121=0,"",$J$121)</f>
        <v>Тариф на водоотведение</v>
      </c>
      <c r="AK143" s="1380" t="str">
        <f>IF($K$143="нет","без дифференциации",IF($N$143=0,"",$N$143))</f>
        <v>Территория 5</v>
      </c>
      <c r="AL143" s="1957" t="str">
        <f>IF($O$143="нет","без дифференциации",IF($R$143=0,"",$R$143))</f>
        <v>Новошахтинское ГП</v>
      </c>
      <c r="AM143" s="1957"/>
      <c r="AN143" s="1380">
        <f>$I$121</f>
        <v>1</v>
      </c>
      <c r="AO143" s="1380" t="str">
        <f>$I$121&amp;"."&amp;$M$143</f>
        <v>1.5</v>
      </c>
      <c r="AP143" s="1380" t="str">
        <f>$I$121&amp;"."&amp;$M$143&amp;"."&amp;$Q$143</f>
        <v>1.5.1</v>
      </c>
      <c r="AQ143" s="1380"/>
      <c r="AR143" s="5796"/>
    </row>
    <row customHeight="1" ht="17.25">
      <c r="A144" s="1953"/>
      <c r="B144" s="5796"/>
      <c r="C144" s="1958"/>
      <c r="D144" s="1943"/>
      <c r="E144" s="1960"/>
      <c r="F144" s="1897"/>
      <c r="G144" s="1961"/>
      <c r="H144" s="1943"/>
      <c r="I144" s="1943"/>
      <c r="J144" s="1964"/>
      <c r="K144" s="1961"/>
      <c r="L144" s="2221"/>
      <c r="M144" s="2221"/>
      <c r="N144" s="2617"/>
      <c r="O144" s="2299"/>
      <c r="P144" s="2221"/>
      <c r="Q144" s="2221"/>
      <c r="R144" s="2615"/>
      <c r="S144" s="2519"/>
      <c r="T144" s="1548"/>
      <c r="U144" s="1549"/>
      <c r="V144" s="1549"/>
      <c r="W144" s="2614"/>
      <c r="X144" s="5796"/>
      <c r="Y144" s="1372"/>
      <c r="Z144" s="1372"/>
      <c r="AA144" s="1372"/>
      <c r="AB144" s="1372"/>
      <c r="AC144" s="1372"/>
      <c r="AD144" s="1372"/>
      <c r="AE144" s="1372"/>
      <c r="AF144" s="1372"/>
      <c r="AG144" s="1372"/>
      <c r="AH144" s="1372"/>
      <c r="AI144" s="1372"/>
      <c r="AJ144" s="1372"/>
      <c r="AK144" s="1372"/>
      <c r="AL144" s="5796"/>
      <c r="AM144" s="5796"/>
      <c r="AN144" s="5796"/>
      <c r="AO144" s="5796"/>
      <c r="AP144" s="5796"/>
      <c r="AQ144" s="5796"/>
      <c r="AR144" s="5796"/>
    </row>
    <row customHeight="1" ht="17.25">
      <c r="A145" s="1953"/>
      <c r="B145" s="5796"/>
      <c r="C145" s="1958"/>
      <c r="D145" s="1943"/>
      <c r="E145" s="1960"/>
      <c r="F145" s="1897"/>
      <c r="G145" s="1961"/>
      <c r="H145" s="1943"/>
      <c r="I145" s="1943"/>
      <c r="J145" s="1964"/>
      <c r="K145" s="1961"/>
      <c r="L145" s="2616"/>
      <c r="M145" s="2616"/>
      <c r="N145" s="2618"/>
      <c r="O145" s="2225"/>
      <c r="P145" s="430"/>
      <c r="Q145" s="431"/>
      <c r="R145" s="431" t="s">
        <v>312</v>
      </c>
      <c r="S145" s="1959"/>
      <c r="T145" s="1959"/>
      <c r="U145" s="1959"/>
      <c r="V145" s="1959"/>
      <c r="W145" s="1546"/>
      <c r="X145" s="5796"/>
      <c r="Y145" s="1372"/>
      <c r="Z145" s="1372"/>
      <c r="AA145" s="1372"/>
      <c r="AB145" s="1372"/>
      <c r="AC145" s="1372"/>
      <c r="AD145" s="1372"/>
      <c r="AE145" s="1372"/>
      <c r="AF145" s="1372"/>
      <c r="AG145" s="1372"/>
      <c r="AH145" s="1372"/>
      <c r="AI145" s="1372"/>
      <c r="AJ145" s="1372"/>
      <c r="AK145" s="1372"/>
      <c r="AL145" s="5796"/>
      <c r="AM145" s="5796"/>
      <c r="AN145" s="5796"/>
      <c r="AO145" s="5796"/>
      <c r="AP145" s="5796"/>
      <c r="AQ145" s="5796"/>
      <c r="AR145" s="5796"/>
    </row>
    <row customHeight="1" ht="17.25">
      <c r="A146" s="1953"/>
      <c r="B146" s="5796"/>
      <c r="C146" s="1955"/>
      <c r="D146" s="1943"/>
      <c r="E146" s="1960"/>
      <c r="F146" s="1897"/>
      <c r="G146" s="1961"/>
      <c r="H146" s="1943"/>
      <c r="I146" s="1943"/>
      <c r="J146" s="1964"/>
      <c r="K146" s="1961"/>
      <c r="L146" s="2221" t="s">
        <v>104</v>
      </c>
      <c r="M146" s="2221" t="s">
        <v>92</v>
      </c>
      <c r="N146" s="2617" t="str">
        <f>IF(Z146="","",INDEX(TERRITORY_MR_LIST,MATCH(Z146,TERRITORY_LIST_ID,0)))</f>
        <v>Территория 6</v>
      </c>
      <c r="O146" s="2298" t="s">
        <v>66</v>
      </c>
      <c r="P146" s="2221"/>
      <c r="Q146" s="2221" t="s">
        <v>136</v>
      </c>
      <c r="R146" s="2615" t="s">
        <v>332</v>
      </c>
      <c r="S146" s="2519" t="s">
        <v>19</v>
      </c>
      <c r="T146" s="1915"/>
      <c r="U146" s="1915" t="s">
        <v>136</v>
      </c>
      <c r="V146" s="1547"/>
      <c r="W146" s="2614"/>
      <c r="X146" s="5796"/>
      <c r="Y146" s="1380"/>
      <c r="Z146" s="1380" t="s">
        <v>122</v>
      </c>
      <c r="AA146" s="1380"/>
      <c r="AB146" s="1380"/>
      <c r="AC146" s="5810" t="s">
        <v>296</v>
      </c>
      <c r="AD146" s="5810" t="s">
        <v>297</v>
      </c>
      <c r="AE146" s="1380" t="s">
        <v>333</v>
      </c>
      <c r="AF146" s="1380" t="s">
        <v>334</v>
      </c>
      <c r="AG146" s="1380" t="s">
        <v>335</v>
      </c>
      <c r="AH146" s="1380" t="str">
        <f>IF($E$121=0,"",$E$121)</f>
        <v>Тариф на водоотведение</v>
      </c>
      <c r="AI146" s="1380" t="str">
        <f>IF($G$121=0,"",$G$121)</f>
        <v>Водоотведение</v>
      </c>
      <c r="AJ146" s="1380" t="str">
        <f>IF($J$121=0,"",$J$121)</f>
        <v>Тариф на водоотведение</v>
      </c>
      <c r="AK146" s="1380" t="str">
        <f>IF($K$146="нет","без дифференциации",IF($N$146=0,"",$N$146))</f>
        <v>Территория 6</v>
      </c>
      <c r="AL146" s="1957" t="str">
        <f>IF($O$146="нет","без дифференциации",IF($R$146=0,"",$R$146))</f>
        <v>пгт. Путятин </v>
      </c>
      <c r="AM146" s="1957"/>
      <c r="AN146" s="1380">
        <f>$I$121</f>
        <v>1</v>
      </c>
      <c r="AO146" s="1380" t="str">
        <f>$I$121&amp;"."&amp;$M$146</f>
        <v>1.6</v>
      </c>
      <c r="AP146" s="1380" t="str">
        <f>$I$121&amp;"."&amp;$M$146&amp;"."&amp;$Q$146</f>
        <v>1.6.1</v>
      </c>
      <c r="AQ146" s="1380"/>
      <c r="AR146" s="5796"/>
    </row>
    <row customHeight="1" ht="17.25">
      <c r="A147" s="1953"/>
      <c r="B147" s="5796"/>
      <c r="C147" s="1958"/>
      <c r="D147" s="1943"/>
      <c r="E147" s="1960"/>
      <c r="F147" s="1897"/>
      <c r="G147" s="1961"/>
      <c r="H147" s="1943"/>
      <c r="I147" s="1943"/>
      <c r="J147" s="1964"/>
      <c r="K147" s="1961"/>
      <c r="L147" s="2221"/>
      <c r="M147" s="2221"/>
      <c r="N147" s="2617"/>
      <c r="O147" s="2299"/>
      <c r="P147" s="2221"/>
      <c r="Q147" s="2221"/>
      <c r="R147" s="2615"/>
      <c r="S147" s="2519"/>
      <c r="T147" s="1548"/>
      <c r="U147" s="1549"/>
      <c r="V147" s="1549"/>
      <c r="W147" s="2614"/>
      <c r="X147" s="5796"/>
      <c r="Y147" s="1372"/>
      <c r="Z147" s="1372"/>
      <c r="AA147" s="1372"/>
      <c r="AB147" s="1372"/>
      <c r="AC147" s="1372"/>
      <c r="AD147" s="1372"/>
      <c r="AE147" s="1372"/>
      <c r="AF147" s="1372"/>
      <c r="AG147" s="1372"/>
      <c r="AH147" s="1372"/>
      <c r="AI147" s="1372"/>
      <c r="AJ147" s="1372"/>
      <c r="AK147" s="1372"/>
      <c r="AL147" s="5796"/>
      <c r="AM147" s="5796"/>
      <c r="AN147" s="5796"/>
      <c r="AO147" s="5796"/>
      <c r="AP147" s="5796"/>
      <c r="AQ147" s="5796"/>
      <c r="AR147" s="5796"/>
    </row>
    <row customHeight="1" ht="17.25">
      <c r="A148" s="1953"/>
      <c r="B148" s="5796"/>
      <c r="C148" s="1955"/>
      <c r="D148" s="1943"/>
      <c r="E148" s="1960"/>
      <c r="F148" s="1897"/>
      <c r="G148" s="1961"/>
      <c r="H148" s="1943"/>
      <c r="I148" s="1943"/>
      <c r="J148" s="1964"/>
      <c r="K148" s="1961"/>
      <c r="L148" s="1943"/>
      <c r="M148" s="1943"/>
      <c r="N148" s="2161"/>
      <c r="O148" s="1900"/>
      <c r="P148" s="2221" t="s">
        <v>104</v>
      </c>
      <c r="Q148" s="2221" t="s">
        <v>103</v>
      </c>
      <c r="R148" s="2615" t="s">
        <v>336</v>
      </c>
      <c r="S148" s="2519" t="s">
        <v>19</v>
      </c>
      <c r="T148" s="1915"/>
      <c r="U148" s="1915" t="s">
        <v>136</v>
      </c>
      <c r="V148" s="1547"/>
      <c r="W148" s="2614"/>
      <c r="X148" s="5796"/>
      <c r="Y148" s="1380"/>
      <c r="Z148" s="1380"/>
      <c r="AA148" s="1380"/>
      <c r="AB148" s="1380"/>
      <c r="AC148" s="5810" t="s">
        <v>296</v>
      </c>
      <c r="AD148" s="5810" t="s">
        <v>297</v>
      </c>
      <c r="AE148" s="5810" t="s">
        <v>333</v>
      </c>
      <c r="AF148" s="1380" t="s">
        <v>337</v>
      </c>
      <c r="AG148" s="1380" t="s">
        <v>338</v>
      </c>
      <c r="AH148" s="1380" t="str">
        <f>IF($E$121=0,"",$E$121)</f>
        <v>Тариф на водоотведение</v>
      </c>
      <c r="AI148" s="1380" t="str">
        <f>IF($G$121=0,"",$G$121)</f>
        <v>Водоотведение</v>
      </c>
      <c r="AJ148" s="1380" t="str">
        <f>IF($J$121=0,"",$J$121)</f>
        <v>Тариф на водоотведение</v>
      </c>
      <c r="AK148" s="1380" t="str">
        <f>IF($K$146="нет","без дифференциации",IF($N$146=0,"",$N$146))</f>
        <v>Территория 6</v>
      </c>
      <c r="AL148" s="1957" t="str">
        <f>IF($O$148="нет","без дифференциации",IF($R$148=0,"",$R$148))</f>
        <v>ЗАТО Фокино</v>
      </c>
      <c r="AM148" s="1957"/>
      <c r="AN148" s="1380">
        <f>$I$121</f>
        <v>1</v>
      </c>
      <c r="AO148" s="1380" t="str">
        <f>$I$121&amp;"."&amp;$M$146</f>
        <v>1.6</v>
      </c>
      <c r="AP148" s="1380" t="str">
        <f>$I$121&amp;"."&amp;$M$146&amp;"."&amp;$Q$148</f>
        <v>1.6.2</v>
      </c>
      <c r="AQ148" s="1380"/>
      <c r="AR148" s="5796"/>
    </row>
    <row customHeight="1" ht="17.25">
      <c r="A149" s="1953"/>
      <c r="B149" s="5796"/>
      <c r="C149" s="1958"/>
      <c r="D149" s="1943"/>
      <c r="E149" s="1960"/>
      <c r="F149" s="1897"/>
      <c r="G149" s="1961"/>
      <c r="H149" s="1943"/>
      <c r="I149" s="1943"/>
      <c r="J149" s="1964"/>
      <c r="K149" s="1961"/>
      <c r="L149" s="1943"/>
      <c r="M149" s="1943"/>
      <c r="N149" s="2161"/>
      <c r="O149" s="1900"/>
      <c r="P149" s="2221"/>
      <c r="Q149" s="2221"/>
      <c r="R149" s="2615"/>
      <c r="S149" s="2519"/>
      <c r="T149" s="1548"/>
      <c r="U149" s="1549"/>
      <c r="V149" s="1549"/>
      <c r="W149" s="2614"/>
      <c r="X149" s="5796"/>
      <c r="Y149" s="1372"/>
      <c r="Z149" s="1372"/>
      <c r="AA149" s="1372"/>
      <c r="AB149" s="1372"/>
      <c r="AC149" s="1372"/>
      <c r="AD149" s="1372"/>
      <c r="AE149" s="1372"/>
      <c r="AF149" s="1372"/>
      <c r="AG149" s="1372"/>
      <c r="AH149" s="1372"/>
      <c r="AI149" s="1372"/>
      <c r="AJ149" s="1372"/>
      <c r="AK149" s="1372"/>
      <c r="AL149" s="5796"/>
      <c r="AM149" s="5796"/>
      <c r="AN149" s="5796"/>
      <c r="AO149" s="5796"/>
      <c r="AP149" s="5796"/>
      <c r="AQ149" s="5796"/>
      <c r="AR149" s="5796"/>
    </row>
    <row customHeight="1" ht="17.25">
      <c r="A150" s="1953"/>
      <c r="B150" s="5796"/>
      <c r="C150" s="1958"/>
      <c r="D150" s="1943"/>
      <c r="E150" s="1960"/>
      <c r="F150" s="1897"/>
      <c r="G150" s="1961"/>
      <c r="H150" s="1943"/>
      <c r="I150" s="1943"/>
      <c r="J150" s="1964"/>
      <c r="K150" s="1961"/>
      <c r="L150" s="2616"/>
      <c r="M150" s="2616"/>
      <c r="N150" s="2618"/>
      <c r="O150" s="2225"/>
      <c r="P150" s="430"/>
      <c r="Q150" s="431"/>
      <c r="R150" s="431" t="s">
        <v>312</v>
      </c>
      <c r="S150" s="1959"/>
      <c r="T150" s="1959"/>
      <c r="U150" s="1959"/>
      <c r="V150" s="1959"/>
      <c r="W150" s="1546"/>
      <c r="X150" s="5796"/>
      <c r="Y150" s="1372"/>
      <c r="Z150" s="1372"/>
      <c r="AA150" s="1372"/>
      <c r="AB150" s="1372"/>
      <c r="AC150" s="1372"/>
      <c r="AD150" s="1372"/>
      <c r="AE150" s="1372"/>
      <c r="AF150" s="1372"/>
      <c r="AG150" s="1372"/>
      <c r="AH150" s="1372"/>
      <c r="AI150" s="1372"/>
      <c r="AJ150" s="1372"/>
      <c r="AK150" s="1372"/>
      <c r="AL150" s="5796"/>
      <c r="AM150" s="5796"/>
      <c r="AN150" s="5796"/>
      <c r="AO150" s="5796"/>
      <c r="AP150" s="5796"/>
      <c r="AQ150" s="5796"/>
      <c r="AR150" s="5796"/>
    </row>
    <row customHeight="1" ht="17.25">
      <c r="A151" s="1953"/>
      <c r="B151" s="5796"/>
      <c r="C151" s="1955"/>
      <c r="D151" s="1943"/>
      <c r="E151" s="1960"/>
      <c r="F151" s="1897"/>
      <c r="G151" s="1961"/>
      <c r="H151" s="1943"/>
      <c r="I151" s="1943"/>
      <c r="J151" s="1964"/>
      <c r="K151" s="1961"/>
      <c r="L151" s="2221" t="s">
        <v>104</v>
      </c>
      <c r="M151" s="2221" t="s">
        <v>93</v>
      </c>
      <c r="N151" s="2617" t="str">
        <f>IF(Z151="","",INDEX(TERRITORY_MR_LIST,MATCH(Z151,TERRITORY_LIST_ID,0)))</f>
        <v>Территория 7</v>
      </c>
      <c r="O151" s="2298" t="s">
        <v>66</v>
      </c>
      <c r="P151" s="2221"/>
      <c r="Q151" s="2221" t="s">
        <v>136</v>
      </c>
      <c r="R151" s="2615" t="s">
        <v>339</v>
      </c>
      <c r="S151" s="2519" t="s">
        <v>19</v>
      </c>
      <c r="T151" s="1915"/>
      <c r="U151" s="1915" t="s">
        <v>136</v>
      </c>
      <c r="V151" s="1547"/>
      <c r="W151" s="2614"/>
      <c r="X151" s="5796"/>
      <c r="Y151" s="1380"/>
      <c r="Z151" s="1380" t="s">
        <v>126</v>
      </c>
      <c r="AA151" s="1380"/>
      <c r="AB151" s="1380"/>
      <c r="AC151" s="5810" t="s">
        <v>296</v>
      </c>
      <c r="AD151" s="5810" t="s">
        <v>297</v>
      </c>
      <c r="AE151" s="1380" t="s">
        <v>340</v>
      </c>
      <c r="AF151" s="1380" t="s">
        <v>341</v>
      </c>
      <c r="AG151" s="1380" t="s">
        <v>342</v>
      </c>
      <c r="AH151" s="1380" t="str">
        <f>IF($E$121=0,"",$E$121)</f>
        <v>Тариф на водоотведение</v>
      </c>
      <c r="AI151" s="1380" t="str">
        <f>IF($G$121=0,"",$G$121)</f>
        <v>Водоотведение</v>
      </c>
      <c r="AJ151" s="1380" t="str">
        <f>IF($J$121=0,"",$J$121)</f>
        <v>Тариф на водоотведение</v>
      </c>
      <c r="AK151" s="1380" t="str">
        <f>IF($K$151="нет","без дифференциации",IF($N$151=0,"",$N$151))</f>
        <v>Территория 7</v>
      </c>
      <c r="AL151" s="1957" t="str">
        <f>IF($O$151="нет","без дифференциации",IF($R$151=0,"",$R$151))</f>
        <v>ГО Спасск-Дальний</v>
      </c>
      <c r="AM151" s="1957"/>
      <c r="AN151" s="1380">
        <f>$I$121</f>
        <v>1</v>
      </c>
      <c r="AO151" s="1380" t="str">
        <f>$I$121&amp;"."&amp;$M$151</f>
        <v>1.7</v>
      </c>
      <c r="AP151" s="1380" t="str">
        <f>$I$121&amp;"."&amp;$M$151&amp;"."&amp;$Q$151</f>
        <v>1.7.1</v>
      </c>
      <c r="AQ151" s="1380"/>
      <c r="AR151" s="5796"/>
    </row>
    <row customHeight="1" ht="17.25">
      <c r="A152" s="1953"/>
      <c r="B152" s="5796"/>
      <c r="C152" s="1958"/>
      <c r="D152" s="1943"/>
      <c r="E152" s="1960"/>
      <c r="F152" s="1897"/>
      <c r="G152" s="1961"/>
      <c r="H152" s="1943"/>
      <c r="I152" s="1943"/>
      <c r="J152" s="1964"/>
      <c r="K152" s="1961"/>
      <c r="L152" s="2221"/>
      <c r="M152" s="2221"/>
      <c r="N152" s="2617"/>
      <c r="O152" s="2299"/>
      <c r="P152" s="2221"/>
      <c r="Q152" s="2221"/>
      <c r="R152" s="2615"/>
      <c r="S152" s="2519"/>
      <c r="T152" s="1548"/>
      <c r="U152" s="1549"/>
      <c r="V152" s="1549"/>
      <c r="W152" s="2614"/>
      <c r="X152" s="5796"/>
      <c r="Y152" s="1372"/>
      <c r="Z152" s="1372"/>
      <c r="AA152" s="1372"/>
      <c r="AB152" s="1372"/>
      <c r="AC152" s="1372"/>
      <c r="AD152" s="1372"/>
      <c r="AE152" s="1372"/>
      <c r="AF152" s="1372"/>
      <c r="AG152" s="1372"/>
      <c r="AH152" s="1372"/>
      <c r="AI152" s="1372"/>
      <c r="AJ152" s="1372"/>
      <c r="AK152" s="1372"/>
      <c r="AL152" s="5796"/>
      <c r="AM152" s="5796"/>
      <c r="AN152" s="5796"/>
      <c r="AO152" s="5796"/>
      <c r="AP152" s="5796"/>
      <c r="AQ152" s="5796"/>
      <c r="AR152" s="5796"/>
    </row>
    <row customHeight="1" ht="17.25">
      <c r="A153" s="1953"/>
      <c r="B153" s="5796"/>
      <c r="C153" s="1958"/>
      <c r="D153" s="1943"/>
      <c r="E153" s="1960"/>
      <c r="F153" s="1897"/>
      <c r="G153" s="1961"/>
      <c r="H153" s="1943"/>
      <c r="I153" s="1943"/>
      <c r="J153" s="1964"/>
      <c r="K153" s="1961"/>
      <c r="L153" s="2616"/>
      <c r="M153" s="2616"/>
      <c r="N153" s="2618"/>
      <c r="O153" s="2225"/>
      <c r="P153" s="430"/>
      <c r="Q153" s="431"/>
      <c r="R153" s="431" t="s">
        <v>312</v>
      </c>
      <c r="S153" s="1959"/>
      <c r="T153" s="1959"/>
      <c r="U153" s="1959"/>
      <c r="V153" s="1959"/>
      <c r="W153" s="1546"/>
      <c r="X153" s="5796"/>
      <c r="Y153" s="1372"/>
      <c r="Z153" s="1372"/>
      <c r="AA153" s="1372"/>
      <c r="AB153" s="1372"/>
      <c r="AC153" s="1372"/>
      <c r="AD153" s="1372"/>
      <c r="AE153" s="1372"/>
      <c r="AF153" s="1372"/>
      <c r="AG153" s="1372"/>
      <c r="AH153" s="1372"/>
      <c r="AI153" s="1372"/>
      <c r="AJ153" s="1372"/>
      <c r="AK153" s="1372"/>
      <c r="AL153" s="5796"/>
      <c r="AM153" s="5796"/>
      <c r="AN153" s="5796"/>
      <c r="AO153" s="5796"/>
      <c r="AP153" s="5796"/>
      <c r="AQ153" s="5796"/>
      <c r="AR153" s="5796"/>
    </row>
    <row customHeight="1" ht="17.25">
      <c r="A154" s="1953"/>
      <c r="B154" s="5796"/>
      <c r="C154" s="1955"/>
      <c r="D154" s="1943"/>
      <c r="E154" s="1960"/>
      <c r="F154" s="1897"/>
      <c r="G154" s="1961"/>
      <c r="H154" s="1943"/>
      <c r="I154" s="1943"/>
      <c r="J154" s="1964"/>
      <c r="K154" s="1961"/>
      <c r="L154" s="2221" t="s">
        <v>104</v>
      </c>
      <c r="M154" s="2221" t="s">
        <v>129</v>
      </c>
      <c r="N154" s="2617" t="str">
        <f>IF(Z154="","",INDEX(TERRITORY_MR_LIST,MATCH(Z154,TERRITORY_LIST_ID,0)))</f>
        <v>Территория 8</v>
      </c>
      <c r="O154" s="2298" t="s">
        <v>66</v>
      </c>
      <c r="P154" s="2221"/>
      <c r="Q154" s="2221" t="s">
        <v>136</v>
      </c>
      <c r="R154" s="2615" t="s">
        <v>343</v>
      </c>
      <c r="S154" s="2519" t="s">
        <v>19</v>
      </c>
      <c r="T154" s="1915"/>
      <c r="U154" s="1915" t="s">
        <v>136</v>
      </c>
      <c r="V154" s="1547"/>
      <c r="W154" s="2614"/>
      <c r="X154" s="5796"/>
      <c r="Y154" s="1380"/>
      <c r="Z154" s="1380" t="s">
        <v>130</v>
      </c>
      <c r="AA154" s="1380"/>
      <c r="AB154" s="1380"/>
      <c r="AC154" s="5810" t="s">
        <v>296</v>
      </c>
      <c r="AD154" s="5810" t="s">
        <v>297</v>
      </c>
      <c r="AE154" s="1380" t="s">
        <v>344</v>
      </c>
      <c r="AF154" s="1380" t="s">
        <v>345</v>
      </c>
      <c r="AG154" s="1380" t="s">
        <v>346</v>
      </c>
      <c r="AH154" s="1380" t="str">
        <f>IF($E$121=0,"",$E$121)</f>
        <v>Тариф на водоотведение</v>
      </c>
      <c r="AI154" s="1380" t="str">
        <f>IF($G$121=0,"",$G$121)</f>
        <v>Водоотведение</v>
      </c>
      <c r="AJ154" s="1380" t="str">
        <f>IF($J$121=0,"",$J$121)</f>
        <v>Тариф на водоотведение</v>
      </c>
      <c r="AK154" s="1380" t="str">
        <f>IF($K$154="нет","без дифференциации",IF($N$154=0,"",$N$154))</f>
        <v>Территория 8</v>
      </c>
      <c r="AL154" s="1957" t="str">
        <f>IF($O$154="нет","без дифференциации",IF($R$154=0,"",$R$154))</f>
        <v>с. Реттиховка</v>
      </c>
      <c r="AM154" s="1957"/>
      <c r="AN154" s="1380">
        <f>$I$121</f>
        <v>1</v>
      </c>
      <c r="AO154" s="1380" t="str">
        <f>$I$121&amp;"."&amp;$M$154</f>
        <v>1.8</v>
      </c>
      <c r="AP154" s="1380" t="str">
        <f>$I$121&amp;"."&amp;$M$154&amp;"."&amp;$Q$154</f>
        <v>1.8.1</v>
      </c>
      <c r="AQ154" s="1380"/>
      <c r="AR154" s="5796"/>
    </row>
    <row customHeight="1" ht="17.25">
      <c r="A155" s="1953"/>
      <c r="B155" s="5796"/>
      <c r="C155" s="1958"/>
      <c r="D155" s="1943"/>
      <c r="E155" s="1960"/>
      <c r="F155" s="1897"/>
      <c r="G155" s="1961"/>
      <c r="H155" s="1943"/>
      <c r="I155" s="1943"/>
      <c r="J155" s="1964"/>
      <c r="K155" s="1961"/>
      <c r="L155" s="2221"/>
      <c r="M155" s="2221"/>
      <c r="N155" s="2617"/>
      <c r="O155" s="2299"/>
      <c r="P155" s="2221"/>
      <c r="Q155" s="2221"/>
      <c r="R155" s="2615"/>
      <c r="S155" s="2519"/>
      <c r="T155" s="1548"/>
      <c r="U155" s="1549"/>
      <c r="V155" s="1549"/>
      <c r="W155" s="2614"/>
      <c r="X155" s="5796"/>
      <c r="Y155" s="1372"/>
      <c r="Z155" s="1372"/>
      <c r="AA155" s="1372"/>
      <c r="AB155" s="1372"/>
      <c r="AC155" s="1372"/>
      <c r="AD155" s="1372"/>
      <c r="AE155" s="1372"/>
      <c r="AF155" s="1372"/>
      <c r="AG155" s="1372"/>
      <c r="AH155" s="1372"/>
      <c r="AI155" s="1372"/>
      <c r="AJ155" s="1372"/>
      <c r="AK155" s="1372"/>
      <c r="AL155" s="5796"/>
      <c r="AM155" s="5796"/>
      <c r="AN155" s="5796"/>
      <c r="AO155" s="5796"/>
      <c r="AP155" s="5796"/>
      <c r="AQ155" s="5796"/>
      <c r="AR155" s="5796"/>
    </row>
    <row customHeight="1" ht="17.25">
      <c r="A156" s="1953"/>
      <c r="B156" s="5796"/>
      <c r="C156" s="1955"/>
      <c r="D156" s="1943"/>
      <c r="E156" s="1960"/>
      <c r="F156" s="1897"/>
      <c r="G156" s="1961"/>
      <c r="H156" s="1943"/>
      <c r="I156" s="1943"/>
      <c r="J156" s="1964"/>
      <c r="K156" s="1961"/>
      <c r="L156" s="1943"/>
      <c r="M156" s="1943"/>
      <c r="N156" s="2161"/>
      <c r="O156" s="1900"/>
      <c r="P156" s="2221" t="s">
        <v>104</v>
      </c>
      <c r="Q156" s="2221" t="s">
        <v>103</v>
      </c>
      <c r="R156" s="2615" t="s">
        <v>347</v>
      </c>
      <c r="S156" s="2519" t="s">
        <v>19</v>
      </c>
      <c r="T156" s="1915"/>
      <c r="U156" s="1915" t="s">
        <v>136</v>
      </c>
      <c r="V156" s="1547"/>
      <c r="W156" s="2614"/>
      <c r="X156" s="5796"/>
      <c r="Y156" s="1380"/>
      <c r="Z156" s="1380"/>
      <c r="AA156" s="1380"/>
      <c r="AB156" s="1380"/>
      <c r="AC156" s="5810" t="s">
        <v>296</v>
      </c>
      <c r="AD156" s="5810" t="s">
        <v>297</v>
      </c>
      <c r="AE156" s="5810" t="s">
        <v>344</v>
      </c>
      <c r="AF156" s="1380" t="s">
        <v>348</v>
      </c>
      <c r="AG156" s="1380" t="s">
        <v>349</v>
      </c>
      <c r="AH156" s="1380" t="str">
        <f>IF($E$121=0,"",$E$121)</f>
        <v>Тариф на водоотведение</v>
      </c>
      <c r="AI156" s="1380" t="str">
        <f>IF($G$121=0,"",$G$121)</f>
        <v>Водоотведение</v>
      </c>
      <c r="AJ156" s="1380" t="str">
        <f>IF($J$121=0,"",$J$121)</f>
        <v>Тариф на водоотведение</v>
      </c>
      <c r="AK156" s="1380" t="str">
        <f>IF($K$154="нет","без дифференциации",IF($N$154=0,"",$N$154))</f>
        <v>Территория 8</v>
      </c>
      <c r="AL156" s="1957" t="str">
        <f>IF($O$156="нет","без дифференциации",IF($R$156=0,"",$R$156))</f>
        <v>с. Майское, с. Дмитриевка</v>
      </c>
      <c r="AM156" s="1957"/>
      <c r="AN156" s="1380">
        <f>$I$121</f>
        <v>1</v>
      </c>
      <c r="AO156" s="1380" t="str">
        <f>$I$121&amp;"."&amp;$M$154</f>
        <v>1.8</v>
      </c>
      <c r="AP156" s="1380" t="str">
        <f>$I$121&amp;"."&amp;$M$154&amp;"."&amp;$Q$156</f>
        <v>1.8.2</v>
      </c>
      <c r="AQ156" s="1380"/>
      <c r="AR156" s="5796"/>
    </row>
    <row customHeight="1" ht="17.25">
      <c r="A157" s="1953"/>
      <c r="B157" s="5796"/>
      <c r="C157" s="1958"/>
      <c r="D157" s="1943"/>
      <c r="E157" s="1960"/>
      <c r="F157" s="1897"/>
      <c r="G157" s="1961"/>
      <c r="H157" s="1943"/>
      <c r="I157" s="1943"/>
      <c r="J157" s="1964"/>
      <c r="K157" s="1961"/>
      <c r="L157" s="1943"/>
      <c r="M157" s="1943"/>
      <c r="N157" s="2161"/>
      <c r="O157" s="1900"/>
      <c r="P157" s="2221"/>
      <c r="Q157" s="2221"/>
      <c r="R157" s="2615"/>
      <c r="S157" s="2519"/>
      <c r="T157" s="1548"/>
      <c r="U157" s="1549"/>
      <c r="V157" s="1549"/>
      <c r="W157" s="2614"/>
      <c r="X157" s="5796"/>
      <c r="Y157" s="1372"/>
      <c r="Z157" s="1372"/>
      <c r="AA157" s="1372"/>
      <c r="AB157" s="1372"/>
      <c r="AC157" s="1372"/>
      <c r="AD157" s="1372"/>
      <c r="AE157" s="1372"/>
      <c r="AF157" s="1372"/>
      <c r="AG157" s="1372"/>
      <c r="AH157" s="1372"/>
      <c r="AI157" s="1372"/>
      <c r="AJ157" s="1372"/>
      <c r="AK157" s="1372"/>
      <c r="AL157" s="5796"/>
      <c r="AM157" s="5796"/>
      <c r="AN157" s="5796"/>
      <c r="AO157" s="5796"/>
      <c r="AP157" s="5796"/>
      <c r="AQ157" s="5796"/>
      <c r="AR157" s="5796"/>
    </row>
    <row customHeight="1" ht="17.25">
      <c r="A158" s="1953"/>
      <c r="B158" s="5796"/>
      <c r="C158" s="1955"/>
      <c r="D158" s="1943"/>
      <c r="E158" s="1960"/>
      <c r="F158" s="1897"/>
      <c r="G158" s="1961"/>
      <c r="H158" s="1943"/>
      <c r="I158" s="1943"/>
      <c r="J158" s="1964"/>
      <c r="K158" s="1961"/>
      <c r="L158" s="1943"/>
      <c r="M158" s="1943"/>
      <c r="N158" s="2161"/>
      <c r="O158" s="1900"/>
      <c r="P158" s="2221" t="s">
        <v>104</v>
      </c>
      <c r="Q158" s="2221" t="s">
        <v>90</v>
      </c>
      <c r="R158" s="2615" t="s">
        <v>350</v>
      </c>
      <c r="S158" s="2519" t="s">
        <v>19</v>
      </c>
      <c r="T158" s="1915"/>
      <c r="U158" s="1915" t="s">
        <v>136</v>
      </c>
      <c r="V158" s="1547"/>
      <c r="W158" s="2614"/>
      <c r="X158" s="5796"/>
      <c r="Y158" s="1380"/>
      <c r="Z158" s="1380"/>
      <c r="AA158" s="1380"/>
      <c r="AB158" s="1380"/>
      <c r="AC158" s="5810" t="s">
        <v>296</v>
      </c>
      <c r="AD158" s="5810" t="s">
        <v>297</v>
      </c>
      <c r="AE158" s="5810" t="s">
        <v>344</v>
      </c>
      <c r="AF158" s="1380" t="s">
        <v>351</v>
      </c>
      <c r="AG158" s="1380" t="s">
        <v>352</v>
      </c>
      <c r="AH158" s="1380" t="str">
        <f>IF($E$121=0,"",$E$121)</f>
        <v>Тариф на водоотведение</v>
      </c>
      <c r="AI158" s="1380" t="str">
        <f>IF($G$121=0,"",$G$121)</f>
        <v>Водоотведение</v>
      </c>
      <c r="AJ158" s="1380" t="str">
        <f>IF($J$121=0,"",$J$121)</f>
        <v>Тариф на водоотведение</v>
      </c>
      <c r="AK158" s="1380" t="str">
        <f>IF($K$154="нет","без дифференциации",IF($N$154=0,"",$N$154))</f>
        <v>Территория 8</v>
      </c>
      <c r="AL158" s="1957" t="str">
        <f>IF($O$158="нет","без дифференциации",IF($R$158=0,"",$R$158))</f>
        <v>с. Черниговка</v>
      </c>
      <c r="AM158" s="1957"/>
      <c r="AN158" s="1380">
        <f>$I$121</f>
        <v>1</v>
      </c>
      <c r="AO158" s="1380" t="str">
        <f>$I$121&amp;"."&amp;$M$154</f>
        <v>1.8</v>
      </c>
      <c r="AP158" s="1380" t="str">
        <f>$I$121&amp;"."&amp;$M$154&amp;"."&amp;$Q$158</f>
        <v>1.8.3</v>
      </c>
      <c r="AQ158" s="1380"/>
      <c r="AR158" s="5796"/>
    </row>
    <row customHeight="1" ht="17.25">
      <c r="A159" s="1953"/>
      <c r="B159" s="5796"/>
      <c r="C159" s="1958"/>
      <c r="D159" s="1943"/>
      <c r="E159" s="1960"/>
      <c r="F159" s="1897"/>
      <c r="G159" s="1961"/>
      <c r="H159" s="1943"/>
      <c r="I159" s="1943"/>
      <c r="J159" s="1964"/>
      <c r="K159" s="1961"/>
      <c r="L159" s="1943"/>
      <c r="M159" s="1943"/>
      <c r="N159" s="2161"/>
      <c r="O159" s="1900"/>
      <c r="P159" s="2221"/>
      <c r="Q159" s="2221"/>
      <c r="R159" s="2615"/>
      <c r="S159" s="2519"/>
      <c r="T159" s="1548"/>
      <c r="U159" s="1549"/>
      <c r="V159" s="1549"/>
      <c r="W159" s="2614"/>
      <c r="X159" s="5796"/>
      <c r="Y159" s="1372"/>
      <c r="Z159" s="1372"/>
      <c r="AA159" s="1372"/>
      <c r="AB159" s="1372"/>
      <c r="AC159" s="1372"/>
      <c r="AD159" s="1372"/>
      <c r="AE159" s="1372"/>
      <c r="AF159" s="1372"/>
      <c r="AG159" s="1372"/>
      <c r="AH159" s="1372"/>
      <c r="AI159" s="1372"/>
      <c r="AJ159" s="1372"/>
      <c r="AK159" s="1372"/>
      <c r="AL159" s="5796"/>
      <c r="AM159" s="5796"/>
      <c r="AN159" s="5796"/>
      <c r="AO159" s="5796"/>
      <c r="AP159" s="5796"/>
      <c r="AQ159" s="5796"/>
      <c r="AR159" s="5796"/>
    </row>
    <row customHeight="1" ht="17.25">
      <c r="A160" s="1953"/>
      <c r="B160" s="5796"/>
      <c r="C160" s="1955"/>
      <c r="D160" s="1943"/>
      <c r="E160" s="1960"/>
      <c r="F160" s="1897"/>
      <c r="G160" s="1961"/>
      <c r="H160" s="1943"/>
      <c r="I160" s="1943"/>
      <c r="J160" s="1964"/>
      <c r="K160" s="1961"/>
      <c r="L160" s="1943"/>
      <c r="M160" s="1943"/>
      <c r="N160" s="2161"/>
      <c r="O160" s="1900"/>
      <c r="P160" s="2221" t="s">
        <v>104</v>
      </c>
      <c r="Q160" s="2221" t="s">
        <v>91</v>
      </c>
      <c r="R160" s="2615" t="s">
        <v>353</v>
      </c>
      <c r="S160" s="2519" t="s">
        <v>19</v>
      </c>
      <c r="T160" s="1915"/>
      <c r="U160" s="1915" t="s">
        <v>136</v>
      </c>
      <c r="V160" s="1547"/>
      <c r="W160" s="2614"/>
      <c r="X160" s="5796"/>
      <c r="Y160" s="1380"/>
      <c r="Z160" s="1380"/>
      <c r="AA160" s="1380"/>
      <c r="AB160" s="1380"/>
      <c r="AC160" s="5810" t="s">
        <v>296</v>
      </c>
      <c r="AD160" s="5810" t="s">
        <v>297</v>
      </c>
      <c r="AE160" s="5810" t="s">
        <v>344</v>
      </c>
      <c r="AF160" s="1380" t="s">
        <v>354</v>
      </c>
      <c r="AG160" s="1380" t="s">
        <v>355</v>
      </c>
      <c r="AH160" s="1380" t="str">
        <f>IF($E$121=0,"",$E$121)</f>
        <v>Тариф на водоотведение</v>
      </c>
      <c r="AI160" s="1380" t="str">
        <f>IF($G$121=0,"",$G$121)</f>
        <v>Водоотведение</v>
      </c>
      <c r="AJ160" s="1380" t="str">
        <f>IF($J$121=0,"",$J$121)</f>
        <v>Тариф на водоотведение</v>
      </c>
      <c r="AK160" s="1380" t="str">
        <f>IF($K$154="нет","без дифференциации",IF($N$154=0,"",$N$154))</f>
        <v>Территория 8</v>
      </c>
      <c r="AL160" s="1957" t="str">
        <f>IF($O$160="нет","без дифференциации",IF($R$160=0,"",$R$160))</f>
        <v>с. Снегуровка</v>
      </c>
      <c r="AM160" s="1957"/>
      <c r="AN160" s="1380">
        <f>$I$121</f>
        <v>1</v>
      </c>
      <c r="AO160" s="1380" t="str">
        <f>$I$121&amp;"."&amp;$M$154</f>
        <v>1.8</v>
      </c>
      <c r="AP160" s="1380" t="str">
        <f>$I$121&amp;"."&amp;$M$154&amp;"."&amp;$Q$160</f>
        <v>1.8.4</v>
      </c>
      <c r="AQ160" s="1380"/>
      <c r="AR160" s="5796"/>
    </row>
    <row customHeight="1" ht="17.25">
      <c r="A161" s="1953"/>
      <c r="B161" s="5796"/>
      <c r="C161" s="1958"/>
      <c r="D161" s="1943"/>
      <c r="E161" s="1960"/>
      <c r="F161" s="1897"/>
      <c r="G161" s="1961"/>
      <c r="H161" s="1943"/>
      <c r="I161" s="1943"/>
      <c r="J161" s="1964"/>
      <c r="K161" s="1961"/>
      <c r="L161" s="1943"/>
      <c r="M161" s="1943"/>
      <c r="N161" s="2161"/>
      <c r="O161" s="1900"/>
      <c r="P161" s="2221"/>
      <c r="Q161" s="2221"/>
      <c r="R161" s="2615"/>
      <c r="S161" s="2519"/>
      <c r="T161" s="1548"/>
      <c r="U161" s="1549"/>
      <c r="V161" s="1549"/>
      <c r="W161" s="2614"/>
      <c r="X161" s="5796"/>
      <c r="Y161" s="1372"/>
      <c r="Z161" s="1372"/>
      <c r="AA161" s="1372"/>
      <c r="AB161" s="1372"/>
      <c r="AC161" s="1372"/>
      <c r="AD161" s="1372"/>
      <c r="AE161" s="1372"/>
      <c r="AF161" s="1372"/>
      <c r="AG161" s="1372"/>
      <c r="AH161" s="1372"/>
      <c r="AI161" s="1372"/>
      <c r="AJ161" s="1372"/>
      <c r="AK161" s="1372"/>
      <c r="AL161" s="5796"/>
      <c r="AM161" s="5796"/>
      <c r="AN161" s="5796"/>
      <c r="AO161" s="5796"/>
      <c r="AP161" s="5796"/>
      <c r="AQ161" s="5796"/>
      <c r="AR161" s="5796"/>
    </row>
    <row customHeight="1" ht="17.25">
      <c r="A162" s="1953"/>
      <c r="B162" s="5796"/>
      <c r="C162" s="1958"/>
      <c r="D162" s="1943"/>
      <c r="E162" s="1960"/>
      <c r="F162" s="1897"/>
      <c r="G162" s="1961"/>
      <c r="H162" s="1943"/>
      <c r="I162" s="1943"/>
      <c r="J162" s="1964"/>
      <c r="K162" s="1961"/>
      <c r="L162" s="2616"/>
      <c r="M162" s="2616"/>
      <c r="N162" s="2618"/>
      <c r="O162" s="2225"/>
      <c r="P162" s="430"/>
      <c r="Q162" s="431"/>
      <c r="R162" s="431" t="s">
        <v>312</v>
      </c>
      <c r="S162" s="1959"/>
      <c r="T162" s="1959"/>
      <c r="U162" s="1959"/>
      <c r="V162" s="1959"/>
      <c r="W162" s="1546"/>
      <c r="X162" s="5796"/>
      <c r="Y162" s="1372"/>
      <c r="Z162" s="1372"/>
      <c r="AA162" s="1372"/>
      <c r="AB162" s="1372"/>
      <c r="AC162" s="1372"/>
      <c r="AD162" s="1372"/>
      <c r="AE162" s="1372"/>
      <c r="AF162" s="1372"/>
      <c r="AG162" s="1372"/>
      <c r="AH162" s="1372"/>
      <c r="AI162" s="1372"/>
      <c r="AJ162" s="1372"/>
      <c r="AK162" s="1372"/>
      <c r="AL162" s="5796"/>
      <c r="AM162" s="5796"/>
      <c r="AN162" s="5796"/>
      <c r="AO162" s="5796"/>
      <c r="AP162" s="5796"/>
      <c r="AQ162" s="5796"/>
      <c r="AR162" s="5796"/>
    </row>
    <row customHeight="1" ht="17.25">
      <c r="A163" s="1953"/>
      <c r="B163" s="5796"/>
      <c r="C163" s="1955"/>
      <c r="D163" s="1943"/>
      <c r="E163" s="1960"/>
      <c r="F163" s="1897"/>
      <c r="G163" s="1961"/>
      <c r="H163" s="1943"/>
      <c r="I163" s="1943"/>
      <c r="J163" s="1964"/>
      <c r="K163" s="1961"/>
      <c r="L163" s="2221" t="s">
        <v>104</v>
      </c>
      <c r="M163" s="2221" t="s">
        <v>134</v>
      </c>
      <c r="N163" s="2617" t="str">
        <f>IF(Z163="","",INDEX(TERRITORY_MR_LIST,MATCH(Z163,TERRITORY_LIST_ID,0)))</f>
        <v>Территория 9</v>
      </c>
      <c r="O163" s="2298" t="s">
        <v>66</v>
      </c>
      <c r="P163" s="2221"/>
      <c r="Q163" s="2221" t="s">
        <v>136</v>
      </c>
      <c r="R163" s="2615" t="s">
        <v>356</v>
      </c>
      <c r="S163" s="2519" t="s">
        <v>19</v>
      </c>
      <c r="T163" s="1915"/>
      <c r="U163" s="1915" t="s">
        <v>136</v>
      </c>
      <c r="V163" s="1547"/>
      <c r="W163" s="2614"/>
      <c r="X163" s="5796"/>
      <c r="Y163" s="1380"/>
      <c r="Z163" s="1380" t="s">
        <v>135</v>
      </c>
      <c r="AA163" s="1380"/>
      <c r="AB163" s="1380"/>
      <c r="AC163" s="5810" t="s">
        <v>296</v>
      </c>
      <c r="AD163" s="5810" t="s">
        <v>297</v>
      </c>
      <c r="AE163" s="1380" t="s">
        <v>357</v>
      </c>
      <c r="AF163" s="1380" t="s">
        <v>358</v>
      </c>
      <c r="AG163" s="1380" t="s">
        <v>359</v>
      </c>
      <c r="AH163" s="1380" t="str">
        <f>IF($E$121=0,"",$E$121)</f>
        <v>Тариф на водоотведение</v>
      </c>
      <c r="AI163" s="1380" t="str">
        <f>IF($G$121=0,"",$G$121)</f>
        <v>Водоотведение</v>
      </c>
      <c r="AJ163" s="1380" t="str">
        <f>IF($J$121=0,"",$J$121)</f>
        <v>Тариф на водоотведение</v>
      </c>
      <c r="AK163" s="1380" t="str">
        <f>IF($K$163="нет","без дифференциации",IF($N$163=0,"",$N$163))</f>
        <v>Территория 9</v>
      </c>
      <c r="AL163" s="1957" t="str">
        <f>IF($O$163="нет","без дифференциации",IF($R$163=0,"",$R$163))</f>
        <v>с. Анучино</v>
      </c>
      <c r="AM163" s="1957"/>
      <c r="AN163" s="1380">
        <f>$I$121</f>
        <v>1</v>
      </c>
      <c r="AO163" s="1380" t="str">
        <f>$I$121&amp;"."&amp;$M$163</f>
        <v>1.9</v>
      </c>
      <c r="AP163" s="1380" t="str">
        <f>$I$121&amp;"."&amp;$M$163&amp;"."&amp;$Q$163</f>
        <v>1.9.1</v>
      </c>
      <c r="AQ163" s="1380"/>
      <c r="AR163" s="5796"/>
    </row>
    <row customHeight="1" ht="17.25">
      <c r="A164" s="1953"/>
      <c r="B164" s="5796"/>
      <c r="C164" s="1958"/>
      <c r="D164" s="1943"/>
      <c r="E164" s="1960"/>
      <c r="F164" s="1897"/>
      <c r="G164" s="1961"/>
      <c r="H164" s="1943"/>
      <c r="I164" s="1943"/>
      <c r="J164" s="1964"/>
      <c r="K164" s="1961"/>
      <c r="L164" s="2221"/>
      <c r="M164" s="2221"/>
      <c r="N164" s="2617"/>
      <c r="O164" s="2299"/>
      <c r="P164" s="2221"/>
      <c r="Q164" s="2221"/>
      <c r="R164" s="2615"/>
      <c r="S164" s="2519"/>
      <c r="T164" s="1548"/>
      <c r="U164" s="1549"/>
      <c r="V164" s="1549"/>
      <c r="W164" s="2614"/>
      <c r="X164" s="5796"/>
      <c r="Y164" s="1372"/>
      <c r="Z164" s="1372"/>
      <c r="AA164" s="1372"/>
      <c r="AB164" s="1372"/>
      <c r="AC164" s="1372"/>
      <c r="AD164" s="1372"/>
      <c r="AE164" s="1372"/>
      <c r="AF164" s="1372"/>
      <c r="AG164" s="1372"/>
      <c r="AH164" s="1372"/>
      <c r="AI164" s="1372"/>
      <c r="AJ164" s="1372"/>
      <c r="AK164" s="1372"/>
      <c r="AL164" s="5796"/>
      <c r="AM164" s="5796"/>
      <c r="AN164" s="5796"/>
      <c r="AO164" s="5796"/>
      <c r="AP164" s="5796"/>
      <c r="AQ164" s="5796"/>
      <c r="AR164" s="5796"/>
    </row>
    <row customHeight="1" ht="17.25">
      <c r="A165" s="1953"/>
      <c r="B165" s="5796"/>
      <c r="C165" s="1958"/>
      <c r="D165" s="1943"/>
      <c r="E165" s="1960"/>
      <c r="F165" s="1897"/>
      <c r="G165" s="1961"/>
      <c r="H165" s="1943"/>
      <c r="I165" s="1943"/>
      <c r="J165" s="1964"/>
      <c r="K165" s="1961"/>
      <c r="L165" s="2616"/>
      <c r="M165" s="2616"/>
      <c r="N165" s="2618"/>
      <c r="O165" s="2225"/>
      <c r="P165" s="430"/>
      <c r="Q165" s="431"/>
      <c r="R165" s="431" t="s">
        <v>312</v>
      </c>
      <c r="S165" s="1959"/>
      <c r="T165" s="1959"/>
      <c r="U165" s="1959"/>
      <c r="V165" s="1959"/>
      <c r="W165" s="1546"/>
      <c r="X165" s="5796"/>
      <c r="Y165" s="1372"/>
      <c r="Z165" s="1372"/>
      <c r="AA165" s="1372"/>
      <c r="AB165" s="1372"/>
      <c r="AC165" s="1372"/>
      <c r="AD165" s="1372"/>
      <c r="AE165" s="1372"/>
      <c r="AF165" s="1372"/>
      <c r="AG165" s="1372"/>
      <c r="AH165" s="1372"/>
      <c r="AI165" s="1372"/>
      <c r="AJ165" s="1372"/>
      <c r="AK165" s="1372"/>
      <c r="AL165" s="5796"/>
      <c r="AM165" s="5796"/>
      <c r="AN165" s="5796"/>
      <c r="AO165" s="5796"/>
      <c r="AP165" s="5796"/>
      <c r="AQ165" s="5796"/>
      <c r="AR165" s="5796"/>
    </row>
    <row s="5604" customFormat="1" customHeight="1" ht="17.25">
      <c r="A166" s="434"/>
      <c r="C166" s="433"/>
      <c r="D166" s="2248"/>
      <c r="E166" s="2256"/>
      <c r="F166" s="2259"/>
      <c r="G166" s="5783"/>
      <c r="H166" s="5815"/>
      <c r="I166" s="5815"/>
      <c r="J166" s="5816"/>
      <c r="K166" s="5818"/>
      <c r="L166" s="5836"/>
      <c r="M166" s="5837"/>
      <c r="N166" s="5838" t="s">
        <v>360</v>
      </c>
      <c r="O166" s="5839"/>
      <c r="P166" s="5840"/>
      <c r="Q166" s="5841"/>
      <c r="R166" s="5842"/>
      <c r="S166" s="5843"/>
      <c r="T166" s="5844"/>
      <c r="U166" s="5845"/>
      <c r="V166" s="5846"/>
      <c r="W166" s="5847"/>
      <c r="Y166" s="1372"/>
      <c r="Z166" s="1372"/>
      <c r="AA166" s="1372"/>
      <c r="AB166" s="1372"/>
      <c r="AC166" s="1372"/>
      <c r="AD166" s="1372"/>
      <c r="AE166" s="1372"/>
      <c r="AF166" s="1372"/>
      <c r="AG166" s="1372"/>
      <c r="AH166" s="1372"/>
      <c r="AI166" s="1372"/>
      <c r="AJ166" s="1372"/>
      <c r="AK166" s="1372"/>
      <c r="AL166" s="1372"/>
      <c r="AM166" s="1372"/>
      <c r="AN166" s="1372"/>
      <c r="AO166" s="1372"/>
      <c r="AP166" s="1372"/>
      <c r="AQ166" s="1372"/>
      <c r="AR166" s="1580">
        <v>0</v>
      </c>
    </row>
    <row s="5604" customFormat="1" customHeight="1" ht="17.25">
      <c r="A167" s="434"/>
      <c r="C167" s="433"/>
      <c r="D167" s="2249"/>
      <c r="E167" s="2257"/>
      <c r="F167" s="2260"/>
      <c r="G167" s="5848"/>
      <c r="H167" s="5849"/>
      <c r="I167" s="5850"/>
      <c r="J167" s="5851" t="s">
        <v>361</v>
      </c>
      <c r="K167" s="5852"/>
      <c r="L167" s="5853"/>
      <c r="M167" s="5854"/>
      <c r="N167" s="5855"/>
      <c r="O167" s="5856"/>
      <c r="P167" s="5857"/>
      <c r="Q167" s="5858"/>
      <c r="R167" s="5859"/>
      <c r="S167" s="5860"/>
      <c r="T167" s="5861"/>
      <c r="U167" s="5862"/>
      <c r="V167" s="5863"/>
      <c r="W167" s="5864"/>
      <c r="Y167" s="1372"/>
      <c r="Z167" s="1372"/>
      <c r="AA167" s="1372"/>
      <c r="AB167" s="1372"/>
      <c r="AC167" s="1372"/>
      <c r="AD167" s="1372"/>
      <c r="AE167" s="1372"/>
      <c r="AF167" s="1372"/>
      <c r="AG167" s="1372"/>
      <c r="AH167" s="1372"/>
      <c r="AI167" s="1372"/>
      <c r="AJ167" s="1372"/>
      <c r="AK167" s="1372"/>
      <c r="AL167" s="1372"/>
      <c r="AM167" s="1372"/>
      <c r="AN167" s="1372"/>
      <c r="AO167" s="1372"/>
      <c r="AP167" s="1372"/>
      <c r="AQ167" s="1372"/>
      <c r="AR167" s="1580">
        <v>0</v>
      </c>
    </row>
    <row s="5604" customFormat="1" customHeight="1" ht="17.25">
      <c r="A168" s="434"/>
      <c r="C168" s="322"/>
      <c r="D168" s="2248">
        <v>2</v>
      </c>
      <c r="E168" s="2256" t="s">
        <v>362</v>
      </c>
      <c r="F168" s="2258" t="s">
        <v>19</v>
      </c>
      <c r="G168" s="2256"/>
      <c r="H168" s="2261"/>
      <c r="I168" s="2263"/>
      <c r="J168" s="2265"/>
      <c r="K168" s="2250"/>
      <c r="L168" s="2250"/>
      <c r="M168" s="2250"/>
      <c r="N168" s="2252"/>
      <c r="O168" s="2250"/>
      <c r="P168" s="2250"/>
      <c r="Q168" s="2250"/>
      <c r="R168" s="2255"/>
      <c r="S168" s="2250"/>
      <c r="T168" s="1583"/>
      <c r="U168" s="1583"/>
      <c r="V168" s="1585"/>
      <c r="W168" s="1409"/>
      <c r="X168" s="1380"/>
      <c r="Y168" s="1380"/>
      <c r="Z168" s="1380"/>
      <c r="AA168" s="1380"/>
      <c r="AB168" s="1380"/>
      <c r="AC168" s="1380" t="s">
        <v>363</v>
      </c>
      <c r="AD168" s="1380" t="s">
        <v>364</v>
      </c>
      <c r="AE168" s="1380" t="s">
        <v>365</v>
      </c>
      <c r="AF168" s="1380" t="s">
        <v>366</v>
      </c>
      <c r="AG168" s="1380"/>
      <c r="AH168" s="1380" t="str">
        <f>IF($E$168=0,"",$E$168)</f>
        <v>Тариф на транспортировку сточных вод</v>
      </c>
      <c r="AI168" s="1380" t="str">
        <f>IF($G$168=0,"",$G$168)</f>
        <v/>
      </c>
      <c r="AJ168" s="1380" t="str">
        <f>IF($J$168=0,"",$J$168)</f>
        <v/>
      </c>
      <c r="AK168" s="1380" t="str">
        <f>IF($K$168="нет","без дифференциации",IF($N$168=0,"",$N$168))</f>
        <v/>
      </c>
      <c r="AL168" s="1380" t="str">
        <f>IF($O$168="нет","без дифференциации",IF($R$168=0,"",$R$168))</f>
        <v/>
      </c>
      <c r="AM168" s="1380" t="str">
        <f>IF($S$168="нет","без дифференциации",IF($V$168=0,"",$V$168))</f>
        <v/>
      </c>
      <c r="AN168" s="1885">
        <f>$I$168</f>
        <v>0</v>
      </c>
      <c r="AO168" s="1380" t="str">
        <f>$I$168&amp;"."&amp;$M$168</f>
        <v>.</v>
      </c>
      <c r="AP168" s="1372" t="str">
        <f>$I$168&amp;"."&amp;$M$168&amp;"."&amp;$Q$168</f>
        <v>..</v>
      </c>
      <c r="AQ168" s="1372" t="str">
        <f>$I$168&amp;"."&amp;$M$168&amp;"."&amp;$Q$168&amp;"."&amp;$U$168</f>
        <v>...</v>
      </c>
      <c r="AR168" s="1580">
        <v>0</v>
      </c>
    </row>
    <row s="5604" customFormat="1" customHeight="1" ht="17.25">
      <c r="A169" s="434"/>
      <c r="C169" s="433"/>
      <c r="D169" s="2248"/>
      <c r="E169" s="2256"/>
      <c r="F169" s="2259"/>
      <c r="G169" s="2256"/>
      <c r="H169" s="2262"/>
      <c r="I169" s="2264"/>
      <c r="J169" s="2266"/>
      <c r="K169" s="2251"/>
      <c r="L169" s="2251"/>
      <c r="M169" s="2251"/>
      <c r="N169" s="2253"/>
      <c r="O169" s="2251"/>
      <c r="P169" s="2251"/>
      <c r="Q169" s="2251"/>
      <c r="R169" s="2254"/>
      <c r="S169" s="2251"/>
      <c r="T169" s="1410"/>
      <c r="U169" s="1410"/>
      <c r="V169" s="1410"/>
      <c r="W169" s="1411"/>
      <c r="X169" s="1372"/>
      <c r="Y169" s="1372"/>
      <c r="Z169" s="1372"/>
      <c r="AA169" s="1372"/>
      <c r="AB169" s="1372"/>
      <c r="AC169" s="1372"/>
      <c r="AD169" s="1372"/>
      <c r="AE169" s="1372"/>
      <c r="AF169" s="1372"/>
      <c r="AG169" s="1372"/>
      <c r="AH169" s="1372"/>
      <c r="AI169" s="1372"/>
      <c r="AJ169" s="1372"/>
      <c r="AK169" s="1372"/>
      <c r="AL169" s="1372"/>
      <c r="AM169" s="1372"/>
      <c r="AN169" s="1372"/>
      <c r="AO169" s="1372"/>
      <c r="AP169" s="1372"/>
      <c r="AQ169" s="1372"/>
      <c r="AR169" s="1580">
        <v>0</v>
      </c>
    </row>
    <row s="5604" customFormat="1" customHeight="1" ht="17.25">
      <c r="A170" s="434"/>
      <c r="C170" s="433"/>
      <c r="D170" s="2249"/>
      <c r="E170" s="2257"/>
      <c r="F170" s="2259"/>
      <c r="G170" s="2257"/>
      <c r="H170" s="2262"/>
      <c r="I170" s="2264"/>
      <c r="J170" s="2267"/>
      <c r="K170" s="2251"/>
      <c r="L170" s="2251"/>
      <c r="M170" s="2251"/>
      <c r="N170" s="2254"/>
      <c r="O170" s="2251"/>
      <c r="P170" s="1584"/>
      <c r="Q170" s="1410"/>
      <c r="R170" s="1410"/>
      <c r="S170" s="442"/>
      <c r="T170" s="442"/>
      <c r="U170" s="442"/>
      <c r="V170" s="442"/>
      <c r="W170" s="1411"/>
      <c r="X170" s="1372"/>
      <c r="Y170" s="1372"/>
      <c r="Z170" s="1372"/>
      <c r="AA170" s="1372"/>
      <c r="AB170" s="1372"/>
      <c r="AC170" s="1372"/>
      <c r="AD170" s="1372"/>
      <c r="AE170" s="1372"/>
      <c r="AF170" s="1372"/>
      <c r="AG170" s="1372"/>
      <c r="AH170" s="1372"/>
      <c r="AI170" s="1372"/>
      <c r="AJ170" s="1372"/>
      <c r="AK170" s="1372"/>
      <c r="AL170" s="1372"/>
      <c r="AM170" s="1372"/>
      <c r="AN170" s="1372"/>
      <c r="AO170" s="1372"/>
      <c r="AP170" s="1372"/>
      <c r="AQ170" s="1372"/>
      <c r="AR170" s="1580">
        <v>0</v>
      </c>
    </row>
    <row s="5604" customFormat="1" customHeight="1" ht="17.25">
      <c r="A171" s="434"/>
      <c r="C171" s="433"/>
      <c r="D171" s="2249"/>
      <c r="E171" s="2257"/>
      <c r="F171" s="2259"/>
      <c r="G171" s="2257"/>
      <c r="H171" s="2262"/>
      <c r="I171" s="2264"/>
      <c r="J171" s="2267"/>
      <c r="K171" s="2251"/>
      <c r="L171" s="1410"/>
      <c r="M171" s="1410"/>
      <c r="N171" s="1410"/>
      <c r="O171" s="1410"/>
      <c r="P171" s="1410"/>
      <c r="Q171" s="1410"/>
      <c r="R171" s="1410"/>
      <c r="S171" s="442"/>
      <c r="T171" s="442"/>
      <c r="U171" s="442"/>
      <c r="V171" s="442"/>
      <c r="W171" s="1411"/>
      <c r="X171" s="1372"/>
      <c r="Y171" s="1372"/>
      <c r="Z171" s="1372"/>
      <c r="AA171" s="1372"/>
      <c r="AB171" s="1372"/>
      <c r="AC171" s="1372"/>
      <c r="AD171" s="1372"/>
      <c r="AE171" s="1372"/>
      <c r="AF171" s="1372"/>
      <c r="AG171" s="1372"/>
      <c r="AH171" s="1372"/>
      <c r="AI171" s="1372"/>
      <c r="AJ171" s="1372"/>
      <c r="AK171" s="1372"/>
      <c r="AL171" s="1372"/>
      <c r="AM171" s="1372"/>
      <c r="AN171" s="1372"/>
      <c r="AO171" s="1372"/>
      <c r="AP171" s="1372"/>
      <c r="AQ171" s="1372"/>
      <c r="AR171" s="1580">
        <v>0</v>
      </c>
    </row>
    <row s="5604" customFormat="1" customHeight="1" ht="17.25">
      <c r="A172" s="434"/>
      <c r="C172" s="433"/>
      <c r="D172" s="2249"/>
      <c r="E172" s="2257"/>
      <c r="F172" s="2260"/>
      <c r="G172" s="2257"/>
      <c r="H172" s="1412"/>
      <c r="I172" s="1413"/>
      <c r="J172" s="1413"/>
      <c r="K172" s="1413"/>
      <c r="L172" s="1413"/>
      <c r="M172" s="1413"/>
      <c r="N172" s="1413"/>
      <c r="O172" s="1413"/>
      <c r="P172" s="1413"/>
      <c r="Q172" s="1413"/>
      <c r="R172" s="1413"/>
      <c r="S172" s="1414"/>
      <c r="T172" s="1414"/>
      <c r="U172" s="1414"/>
      <c r="V172" s="1414"/>
      <c r="W172" s="1415"/>
      <c r="X172" s="1372"/>
      <c r="Y172" s="1372"/>
      <c r="Z172" s="1372"/>
      <c r="AA172" s="1372"/>
      <c r="AB172" s="1372"/>
      <c r="AC172" s="1372"/>
      <c r="AD172" s="1372"/>
      <c r="AE172" s="1372"/>
      <c r="AF172" s="1372"/>
      <c r="AG172" s="1372"/>
      <c r="AH172" s="1372"/>
      <c r="AI172" s="1372"/>
      <c r="AJ172" s="1372"/>
      <c r="AK172" s="1372"/>
      <c r="AL172" s="1372"/>
      <c r="AM172" s="1372"/>
      <c r="AN172" s="1372"/>
      <c r="AO172" s="1372"/>
      <c r="AP172" s="1372"/>
      <c r="AQ172" s="1372"/>
      <c r="AR172" s="1580">
        <v>0</v>
      </c>
    </row>
    <row s="5604" customFormat="1" customHeight="1" ht="17.25">
      <c r="A173" s="434"/>
      <c r="C173" s="322"/>
      <c r="D173" s="2248">
        <v>3</v>
      </c>
      <c r="E173" s="2256" t="s">
        <v>367</v>
      </c>
      <c r="F173" s="2258" t="s">
        <v>19</v>
      </c>
      <c r="G173" s="2256"/>
      <c r="H173" s="2261"/>
      <c r="I173" s="2263"/>
      <c r="J173" s="2265"/>
      <c r="K173" s="2250"/>
      <c r="L173" s="2250"/>
      <c r="M173" s="2250"/>
      <c r="N173" s="2252"/>
      <c r="O173" s="2250"/>
      <c r="P173" s="2250"/>
      <c r="Q173" s="2250"/>
      <c r="R173" s="2255"/>
      <c r="S173" s="2250"/>
      <c r="T173" s="2056"/>
      <c r="U173" s="2056"/>
      <c r="V173" s="2058"/>
      <c r="W173" s="1409"/>
      <c r="X173" s="1380"/>
      <c r="Y173" s="1380"/>
      <c r="Z173" s="1380"/>
      <c r="AA173" s="1380"/>
      <c r="AB173" s="1380"/>
      <c r="AC173" s="1380" t="s">
        <v>368</v>
      </c>
      <c r="AD173" s="1380" t="s">
        <v>369</v>
      </c>
      <c r="AE173" s="1380" t="s">
        <v>370</v>
      </c>
      <c r="AF173" s="1380" t="s">
        <v>371</v>
      </c>
      <c r="AG173" s="1380"/>
      <c r="AH173" s="1380" t="str">
        <f>IF($E$173=0,"",$E$173)</f>
        <v>Тариф на подключение (технологическое присоединение) к централизованной системе водоотведения</v>
      </c>
      <c r="AI173" s="1380" t="str">
        <f>IF($G$173=0,"",$G$173)</f>
        <v/>
      </c>
      <c r="AJ173" s="1380" t="str">
        <f>IF($J$173=0,"",$J$173)</f>
        <v/>
      </c>
      <c r="AK173" s="1380" t="str">
        <f>IF($K$173="нет","без дифференциации",IF($N$173=0,"",$N$173))</f>
        <v/>
      </c>
      <c r="AL173" s="1380" t="str">
        <f>IF($O$173="нет","без дифференциации",IF($R$173=0,"",$R$173))</f>
        <v/>
      </c>
      <c r="AM173" s="1380" t="str">
        <f>IF($S$173="нет","без дифференциации",IF($V$173=0,"",$V$173))</f>
        <v/>
      </c>
      <c r="AN173" s="1885">
        <f>$I$173</f>
        <v>0</v>
      </c>
      <c r="AO173" s="1380" t="str">
        <f>$I$173&amp;"."&amp;$M$173</f>
        <v>.</v>
      </c>
      <c r="AP173" s="1379" t="str">
        <f>$I$173&amp;"."&amp;$M$173&amp;"."&amp;$Q$173</f>
        <v>..</v>
      </c>
      <c r="AQ173" s="1379" t="str">
        <f>$I$173&amp;"."&amp;$M$173&amp;"."&amp;$Q$173&amp;"."&amp;$U$173</f>
        <v>...</v>
      </c>
      <c r="AR173" s="1580">
        <v>0</v>
      </c>
    </row>
    <row s="5604" customFormat="1" customHeight="1" ht="17.25">
      <c r="A174" s="434"/>
      <c r="C174" s="433"/>
      <c r="D174" s="2248"/>
      <c r="E174" s="2256"/>
      <c r="F174" s="2259"/>
      <c r="G174" s="2256"/>
      <c r="H174" s="2262"/>
      <c r="I174" s="2264"/>
      <c r="J174" s="2266"/>
      <c r="K174" s="2251"/>
      <c r="L174" s="2251"/>
      <c r="M174" s="2251"/>
      <c r="N174" s="2253"/>
      <c r="O174" s="2251"/>
      <c r="P174" s="2251"/>
      <c r="Q174" s="2251"/>
      <c r="R174" s="2254"/>
      <c r="S174" s="2251"/>
      <c r="T174" s="2061"/>
      <c r="U174" s="2061"/>
      <c r="V174" s="2061"/>
      <c r="W174" s="2062"/>
      <c r="X174" s="1379"/>
      <c r="Y174" s="1379"/>
      <c r="Z174" s="1379"/>
      <c r="AA174" s="1379"/>
      <c r="AB174" s="1379"/>
      <c r="AC174" s="1379"/>
      <c r="AD174" s="1379"/>
      <c r="AE174" s="1379"/>
      <c r="AF174" s="1379"/>
      <c r="AG174" s="1379"/>
      <c r="AH174" s="1379"/>
      <c r="AI174" s="1379"/>
      <c r="AJ174" s="1379"/>
      <c r="AK174" s="1379"/>
      <c r="AL174" s="1379"/>
      <c r="AM174" s="1379"/>
      <c r="AN174" s="1379"/>
      <c r="AO174" s="1379"/>
      <c r="AP174" s="1379"/>
      <c r="AQ174" s="1379"/>
      <c r="AR174" s="1580">
        <v>0</v>
      </c>
    </row>
    <row s="5604" customFormat="1" customHeight="1" ht="17.25">
      <c r="A175" s="434"/>
      <c r="C175" s="433"/>
      <c r="D175" s="2249"/>
      <c r="E175" s="2257"/>
      <c r="F175" s="2259"/>
      <c r="G175" s="2257"/>
      <c r="H175" s="2262"/>
      <c r="I175" s="2264"/>
      <c r="J175" s="2267"/>
      <c r="K175" s="2251"/>
      <c r="L175" s="2251"/>
      <c r="M175" s="2251"/>
      <c r="N175" s="2254"/>
      <c r="O175" s="2251"/>
      <c r="P175" s="2057"/>
      <c r="Q175" s="2061"/>
      <c r="R175" s="2061"/>
      <c r="S175" s="442"/>
      <c r="T175" s="442"/>
      <c r="U175" s="442"/>
      <c r="V175" s="442"/>
      <c r="W175" s="2062"/>
      <c r="X175" s="1379"/>
      <c r="Y175" s="1379"/>
      <c r="Z175" s="1379"/>
      <c r="AA175" s="1379"/>
      <c r="AB175" s="1379"/>
      <c r="AC175" s="1379"/>
      <c r="AD175" s="1379"/>
      <c r="AE175" s="1379"/>
      <c r="AF175" s="1379"/>
      <c r="AG175" s="1379"/>
      <c r="AH175" s="1379"/>
      <c r="AI175" s="1379"/>
      <c r="AJ175" s="1379"/>
      <c r="AK175" s="1379"/>
      <c r="AL175" s="1379"/>
      <c r="AM175" s="1379"/>
      <c r="AN175" s="1379"/>
      <c r="AO175" s="1379"/>
      <c r="AP175" s="1379"/>
      <c r="AQ175" s="1379"/>
      <c r="AR175" s="1580">
        <v>0</v>
      </c>
    </row>
    <row s="5604" customFormat="1" customHeight="1" ht="17.25">
      <c r="A176" s="434"/>
      <c r="C176" s="433"/>
      <c r="D176" s="2249"/>
      <c r="E176" s="2257"/>
      <c r="F176" s="2259"/>
      <c r="G176" s="2257"/>
      <c r="H176" s="2262"/>
      <c r="I176" s="2264"/>
      <c r="J176" s="2267"/>
      <c r="K176" s="2251"/>
      <c r="L176" s="2061"/>
      <c r="M176" s="2061"/>
      <c r="N176" s="2061"/>
      <c r="O176" s="2061"/>
      <c r="P176" s="2061"/>
      <c r="Q176" s="2061"/>
      <c r="R176" s="2061"/>
      <c r="S176" s="442"/>
      <c r="T176" s="442"/>
      <c r="U176" s="442"/>
      <c r="V176" s="442"/>
      <c r="W176" s="2062"/>
      <c r="X176" s="1379"/>
      <c r="Y176" s="1379"/>
      <c r="Z176" s="1379"/>
      <c r="AA176" s="1379"/>
      <c r="AB176" s="1379"/>
      <c r="AC176" s="1379"/>
      <c r="AD176" s="1379"/>
      <c r="AE176" s="1379"/>
      <c r="AF176" s="1379"/>
      <c r="AG176" s="1379"/>
      <c r="AH176" s="1379"/>
      <c r="AI176" s="1379"/>
      <c r="AJ176" s="1379"/>
      <c r="AK176" s="1379"/>
      <c r="AL176" s="1379"/>
      <c r="AM176" s="1379"/>
      <c r="AN176" s="1379"/>
      <c r="AO176" s="1379"/>
      <c r="AP176" s="1379"/>
      <c r="AQ176" s="1379"/>
      <c r="AR176" s="1580">
        <v>0</v>
      </c>
    </row>
    <row s="5604" customFormat="1" customHeight="1" ht="17.25">
      <c r="A177" s="434"/>
      <c r="C177" s="433"/>
      <c r="D177" s="2249"/>
      <c r="E177" s="2257"/>
      <c r="F177" s="2260"/>
      <c r="G177" s="2257"/>
      <c r="H177" s="1412"/>
      <c r="I177" s="2059"/>
      <c r="J177" s="2059"/>
      <c r="K177" s="2059"/>
      <c r="L177" s="2059"/>
      <c r="M177" s="2059"/>
      <c r="N177" s="2059"/>
      <c r="O177" s="2059"/>
      <c r="P177" s="2059"/>
      <c r="Q177" s="2059"/>
      <c r="R177" s="2059"/>
      <c r="S177" s="1414"/>
      <c r="T177" s="1414"/>
      <c r="U177" s="1414"/>
      <c r="V177" s="1414"/>
      <c r="W177" s="2060"/>
      <c r="X177" s="1379"/>
      <c r="Y177" s="1379"/>
      <c r="Z177" s="1379"/>
      <c r="AA177" s="1379"/>
      <c r="AB177" s="1379"/>
      <c r="AC177" s="1379"/>
      <c r="AD177" s="1379"/>
      <c r="AE177" s="1379"/>
      <c r="AF177" s="1379"/>
      <c r="AG177" s="1379"/>
      <c r="AH177" s="1379"/>
      <c r="AI177" s="1379"/>
      <c r="AJ177" s="1379"/>
      <c r="AK177" s="1379"/>
      <c r="AL177" s="1379"/>
      <c r="AM177" s="1379"/>
      <c r="AN177" s="1379"/>
      <c r="AO177" s="1379"/>
      <c r="AP177" s="1379"/>
      <c r="AQ177" s="1379"/>
      <c r="AR177" s="1580">
        <v>0</v>
      </c>
    </row>
    <row customHeight="1" ht="11.549999999999999">
      <c r="AR178" s="217">
        <v>11</v>
      </c>
    </row>
    <row customHeight="1" ht="11.549999999999999">
      <c r="AR179" s="217">
        <v>11</v>
      </c>
    </row>
    <row customHeight="1" ht="11.549999999999999">
      <c r="AR180" s="217">
        <v>11</v>
      </c>
    </row>
    <row customHeight="1" ht="11.549999999999999">
      <c r="E181" s="1463"/>
      <c r="AR181" s="217">
        <v>11</v>
      </c>
    </row>
    <row customHeight="1" ht="11.549999999999999">
      <c r="E182" s="1463"/>
      <c r="AR182" s="217">
        <v>11</v>
      </c>
    </row>
    <row customHeight="1" ht="11.549999999999999">
      <c r="E183" s="1463"/>
      <c r="AR183" s="217">
        <v>11</v>
      </c>
    </row>
    <row customHeight="1" ht="11.549999999999999">
      <c r="E184" s="1463"/>
      <c r="AR184" s="217">
        <v>11</v>
      </c>
    </row>
    <row customHeight="1" ht="11.549999999999999">
      <c r="E185" s="1463"/>
      <c r="AR185" s="217">
        <v>11</v>
      </c>
    </row>
    <row customHeight="1" ht="11.549999999999999">
      <c r="E186" s="1463"/>
      <c r="AR186" s="217">
        <v>11</v>
      </c>
    </row>
    <row customHeight="1" ht="11.549999999999999">
      <c r="E187" s="1463"/>
      <c r="AR187" s="217">
        <v>11</v>
      </c>
    </row>
    <row customHeight="1" ht="11.25" hidden="1">
      <c r="A188" s="266" t="s">
        <v>82</v>
      </c>
      <c r="B188" s="266">
        <v>0</v>
      </c>
      <c r="C188" s="217">
        <v>3</v>
      </c>
      <c r="D188" s="217">
        <v>6</v>
      </c>
      <c r="E188" s="217">
        <v>42</v>
      </c>
      <c r="F188" s="1396">
        <v>14</v>
      </c>
      <c r="G188" s="217">
        <v>42</v>
      </c>
      <c r="H188" s="217">
        <v>3</v>
      </c>
      <c r="I188" s="217">
        <v>5</v>
      </c>
      <c r="J188" s="217">
        <v>47</v>
      </c>
      <c r="K188" s="217">
        <v>3</v>
      </c>
      <c r="L188" s="217">
        <v>3</v>
      </c>
      <c r="M188" s="217">
        <v>5</v>
      </c>
      <c r="N188" s="217">
        <v>28</v>
      </c>
      <c r="O188" s="217">
        <v>3</v>
      </c>
      <c r="P188" s="217">
        <v>3</v>
      </c>
      <c r="Q188" s="217">
        <v>5</v>
      </c>
      <c r="R188" s="217">
        <v>34</v>
      </c>
      <c r="S188" s="395">
        <v>0</v>
      </c>
      <c r="T188" s="395">
        <v>0</v>
      </c>
      <c r="U188" s="395">
        <v>0</v>
      </c>
      <c r="V188" s="395">
        <v>0</v>
      </c>
      <c r="W188" s="217">
        <v>30</v>
      </c>
      <c r="X188" s="217">
        <v>3</v>
      </c>
      <c r="Y188" s="1372">
        <v>0</v>
      </c>
      <c r="Z188" s="1372">
        <v>0</v>
      </c>
      <c r="AA188" s="1372">
        <v>0</v>
      </c>
      <c r="AB188" s="1372">
        <v>0</v>
      </c>
      <c r="AC188" s="1372">
        <v>0</v>
      </c>
      <c r="AD188" s="1372">
        <v>0</v>
      </c>
      <c r="AE188" s="1372">
        <v>0</v>
      </c>
      <c r="AF188" s="1372">
        <v>0</v>
      </c>
      <c r="AG188" s="1372">
        <v>0</v>
      </c>
      <c r="AH188" s="1372">
        <v>0</v>
      </c>
      <c r="AI188" s="1372">
        <v>0</v>
      </c>
      <c r="AJ188" s="1372">
        <v>0</v>
      </c>
      <c r="AK188" s="1372">
        <v>0</v>
      </c>
      <c r="AL188" s="1372">
        <v>0</v>
      </c>
      <c r="AM188" s="1372">
        <v>0</v>
      </c>
      <c r="AN188" s="1372">
        <v>0</v>
      </c>
      <c r="AO188" s="1372">
        <v>0</v>
      </c>
      <c r="AP188" s="1372">
        <v>0</v>
      </c>
      <c r="AQ188" s="1372">
        <v>0</v>
      </c>
      <c r="AR188" s="217">
        <v>11</v>
      </c>
    </row>
  </sheetData>
  <sheetProtection formatColumns="0" formatRows="0" autoFilter="0" sort="0" insertRows="0" insertColumns="1" deleteRows="0" deleteColumns="0"/>
  <mergeCells count="497">
    <mergeCell ref="R23:R24"/>
    <mergeCell ref="S23:S24"/>
    <mergeCell ref="G23:G27"/>
    <mergeCell ref="H23:H26"/>
    <mergeCell ref="I23:I26"/>
    <mergeCell ref="J23:J26"/>
    <mergeCell ref="K23:K26"/>
    <mergeCell ref="L23:L25"/>
    <mergeCell ref="M23:M25"/>
    <mergeCell ref="N23:N25"/>
    <mergeCell ref="O23:O25"/>
    <mergeCell ref="M173:M175"/>
    <mergeCell ref="N173:N175"/>
    <mergeCell ref="O173:O175"/>
    <mergeCell ref="P173:P174"/>
    <mergeCell ref="Q173:Q174"/>
    <mergeCell ref="R173:R174"/>
    <mergeCell ref="S173:S174"/>
    <mergeCell ref="D173:D177"/>
    <mergeCell ref="E173:E177"/>
    <mergeCell ref="F173:F177"/>
    <mergeCell ref="G173:G177"/>
    <mergeCell ref="H173:H176"/>
    <mergeCell ref="I173:I176"/>
    <mergeCell ref="J173:J176"/>
    <mergeCell ref="K173:K176"/>
    <mergeCell ref="L173:L17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68:S169"/>
    <mergeCell ref="D168:D172"/>
    <mergeCell ref="E168:E172"/>
    <mergeCell ref="F168:F172"/>
    <mergeCell ref="G168:G172"/>
    <mergeCell ref="H168:H171"/>
    <mergeCell ref="I168:I171"/>
    <mergeCell ref="J168:J171"/>
    <mergeCell ref="K168:K171"/>
    <mergeCell ref="L168:L170"/>
    <mergeCell ref="M168:M170"/>
    <mergeCell ref="N168:N170"/>
    <mergeCell ref="O168:O170"/>
    <mergeCell ref="P168:P169"/>
    <mergeCell ref="Q168:Q169"/>
    <mergeCell ref="R168:R169"/>
    <mergeCell ref="D121:D167"/>
    <mergeCell ref="E121:E167"/>
    <mergeCell ref="F121:F167"/>
    <mergeCell ref="G121:G167"/>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31"/>
    <mergeCell ref="N121:N131"/>
    <mergeCell ref="S121:S122"/>
    <mergeCell ref="H121:H166"/>
    <mergeCell ref="I121:I166"/>
    <mergeCell ref="J121:J166"/>
    <mergeCell ref="K121:K166"/>
    <mergeCell ref="L121:L131"/>
    <mergeCell ref="W121:W122"/>
    <mergeCell ref="O121:O131"/>
    <mergeCell ref="P121:P122"/>
    <mergeCell ref="Q121:Q122"/>
    <mergeCell ref="R121:R122"/>
    <mergeCell ref="P123:P124"/>
    <mergeCell ref="Q123:Q124"/>
    <mergeCell ref="R123:R124"/>
    <mergeCell ref="S123:S124"/>
    <mergeCell ref="W123:W124"/>
    <mergeCell ref="P125:P126"/>
    <mergeCell ref="Q125:Q126"/>
    <mergeCell ref="R125:R126"/>
    <mergeCell ref="S125:S126"/>
    <mergeCell ref="W125:W126"/>
    <mergeCell ref="P127:P128"/>
    <mergeCell ref="Q127:Q128"/>
    <mergeCell ref="R127:R128"/>
    <mergeCell ref="S127:S128"/>
    <mergeCell ref="W127:W128"/>
    <mergeCell ref="P129:P130"/>
    <mergeCell ref="Q129:Q130"/>
    <mergeCell ref="R129:R130"/>
    <mergeCell ref="S129:S130"/>
    <mergeCell ref="W129:W130"/>
    <mergeCell ref="L132:L136"/>
    <mergeCell ref="M132:M136"/>
    <mergeCell ref="N132:N136"/>
    <mergeCell ref="O132:O136"/>
    <mergeCell ref="P132:P133"/>
    <mergeCell ref="Q132:Q133"/>
    <mergeCell ref="R132:R133"/>
    <mergeCell ref="S132:S133"/>
    <mergeCell ref="W132:W133"/>
    <mergeCell ref="L137:L139"/>
    <mergeCell ref="M137:M139"/>
    <mergeCell ref="N137:N139"/>
    <mergeCell ref="O137:O139"/>
    <mergeCell ref="P137:P138"/>
    <mergeCell ref="Q137:Q138"/>
    <mergeCell ref="R137:R138"/>
    <mergeCell ref="S137:S138"/>
    <mergeCell ref="W137:W138"/>
    <mergeCell ref="L140:L142"/>
    <mergeCell ref="M140:M142"/>
    <mergeCell ref="N140:N142"/>
    <mergeCell ref="O140:O142"/>
    <mergeCell ref="P140:P141"/>
    <mergeCell ref="Q140:Q141"/>
    <mergeCell ref="R140:R141"/>
    <mergeCell ref="S140:S141"/>
    <mergeCell ref="W140:W141"/>
    <mergeCell ref="L143:L145"/>
    <mergeCell ref="M143:M145"/>
    <mergeCell ref="N143:N145"/>
    <mergeCell ref="O143:O145"/>
    <mergeCell ref="P143:P144"/>
    <mergeCell ref="Q143:Q144"/>
    <mergeCell ref="R143:R144"/>
    <mergeCell ref="S143:S144"/>
    <mergeCell ref="W143:W144"/>
    <mergeCell ref="L146:L150"/>
    <mergeCell ref="M146:M150"/>
    <mergeCell ref="N146:N150"/>
    <mergeCell ref="O146:O150"/>
    <mergeCell ref="P146:P147"/>
    <mergeCell ref="Q146:Q147"/>
    <mergeCell ref="R146:R147"/>
    <mergeCell ref="S146:S147"/>
    <mergeCell ref="W146:W147"/>
    <mergeCell ref="P148:P149"/>
    <mergeCell ref="Q148:Q149"/>
    <mergeCell ref="R148:R149"/>
    <mergeCell ref="S148:S149"/>
    <mergeCell ref="W148:W149"/>
    <mergeCell ref="L151:L153"/>
    <mergeCell ref="M151:M153"/>
    <mergeCell ref="N151:N153"/>
    <mergeCell ref="O151:O153"/>
    <mergeCell ref="P151:P152"/>
    <mergeCell ref="Q151:Q152"/>
    <mergeCell ref="R151:R152"/>
    <mergeCell ref="S151:S152"/>
    <mergeCell ref="W151:W152"/>
    <mergeCell ref="L154:L162"/>
    <mergeCell ref="M154:M162"/>
    <mergeCell ref="N154:N162"/>
    <mergeCell ref="O154:O162"/>
    <mergeCell ref="P154:P155"/>
    <mergeCell ref="Q154:Q155"/>
    <mergeCell ref="R154:R155"/>
    <mergeCell ref="S154:S155"/>
    <mergeCell ref="W154:W155"/>
    <mergeCell ref="L163:L165"/>
    <mergeCell ref="M163:M165"/>
    <mergeCell ref="N163:N165"/>
    <mergeCell ref="O163:O165"/>
    <mergeCell ref="P163:P164"/>
    <mergeCell ref="Q163:Q164"/>
    <mergeCell ref="R163:R164"/>
    <mergeCell ref="S163:S164"/>
    <mergeCell ref="W163:W164"/>
    <mergeCell ref="P156:P157"/>
    <mergeCell ref="Q156:Q157"/>
    <mergeCell ref="R156:R157"/>
    <mergeCell ref="S156:S157"/>
    <mergeCell ref="W156:W157"/>
    <mergeCell ref="P158:P159"/>
    <mergeCell ref="Q158:Q159"/>
    <mergeCell ref="R158:R159"/>
    <mergeCell ref="S158:S159"/>
    <mergeCell ref="W158:W159"/>
    <mergeCell ref="P160:P161"/>
    <mergeCell ref="Q160:Q161"/>
    <mergeCell ref="R160:R161"/>
    <mergeCell ref="S160:S161"/>
    <mergeCell ref="W160:W161"/>
    <mergeCell ref="P134:P135"/>
    <mergeCell ref="Q134:Q135"/>
    <mergeCell ref="R134:R135"/>
    <mergeCell ref="S134:S135"/>
    <mergeCell ref="W134:W135"/>
  </mergeCells>
  <dataValidations count="29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22 G131 G166:G177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68:N170 N58:N60 N63:N65 N99:N101 N115:N117 N173:N175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68:J169 R168:R169 V168:W168 J58:J59 R58:R59 V58:W58 J63:J64 R63:R64 V63:W63 J99:J100 R99:R100 V99:W99 J115:J116 R115:R116 V115:W115 J173:J174 R173:R174 V173:W173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73:O174 O105:O106 S105:S106 O110:O111 S110:S111 K105:K106 K110:K111 S99:S100 K168:K169 O168:O169 S168:S169 O115:O116 O58:O59 S58:S59 K58:K59 K63:K64 O63:O64 S63:S64 F79:F103 K99:K100 O99:O100 F105:F119 S115:S116 K115:K116 F121:F122 F131 F166:F177 S173:S174 K173:K174 F13:F67 K23:K24 O23:O24 S23:S24"/>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F123"/>
    <dataValidation allowBlank="1" showInputMessage="1" showErrorMessage="1" prompt="Выберите виды деятельности, выполнив двойной щелчок левой кнопки мыши по ячейке." sqref="G123"/>
    <dataValidation type="textLength" operator="lessThanOrEqual" allowBlank="1" showInputMessage="1" showErrorMessage="1" errorTitle="Ошибка" error="Допускается ввод не более 900 символов!" sqref="J1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O123"/>
    <dataValidation type="textLength" operator="lessThanOrEqual" allowBlank="1" showInputMessage="1" showErrorMessage="1" errorTitle="Ошибка" error="Допускается ввод не более 900 символов!" sqref="R123">
      <formula1>900</formula1>
    </dataValidation>
    <dataValidation allowBlank="1" showInputMessage="1" showErrorMessage="1" prompt="Для выбора выполните двойной щелчок левой клавиши мыши по соответствующей ячейке." sqref="S123"/>
    <dataValidation type="textLength" operator="lessThanOrEqual" allowBlank="1" showInputMessage="1" showErrorMessage="1" errorTitle="Ошибка" error="Допускается ввод не более 900 символов!" sqref="V123">
      <formula1>900</formula1>
    </dataValidation>
    <dataValidation type="textLength" operator="lessThanOrEqual" allowBlank="1" showInputMessage="1" showErrorMessage="1" errorTitle="Ошибка" error="Допускается ввод не более 900 символов!" sqref="W123">
      <formula1>900</formula1>
    </dataValidation>
    <dataValidation allowBlank="1" showInputMessage="1" showErrorMessage="1" prompt="Для выбора выполните двойной щелчок левой клавиши мыши по соответствующей ячейке." sqref="F124"/>
    <dataValidation allowBlank="1" showInputMessage="1" showErrorMessage="1" prompt="Выберите виды деятельности, выполнив двойной щелчок левой кнопки мыши по ячейке." sqref="G124"/>
    <dataValidation type="textLength" operator="lessThanOrEqual" allowBlank="1" showInputMessage="1" showErrorMessage="1" errorTitle="Ошибка" error="Допускается ввод не более 900 символов!" sqref="J1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4"/>
    <dataValidation type="textLength" operator="lessThanOrEqual" allowBlank="1" showInputMessage="1" showErrorMessage="1" errorTitle="Ошибка" error="Допускается ввод не более 900 символов!" sqref="R124">
      <formula1>900</formula1>
    </dataValidation>
    <dataValidation allowBlank="1" showInputMessage="1" showErrorMessage="1" prompt="Для выбора выполните двойной щелчок левой клавиши мыши по соответствующей ячейке." sqref="S124"/>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Выберите виды деятельности, выполнив двойной щелчок левой кнопки мыши по ячейке." sqref="G125"/>
    <dataValidation type="textLength" operator="lessThanOrEqual" allowBlank="1" showInputMessage="1" showErrorMessage="1" errorTitle="Ошибка" error="Допускается ввод не более 900 символов!" sqref="J1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allowBlank="1" showInputMessage="1" showErrorMessage="1" prompt="Для выбора выполните двойной щелчок левой клавиши мыши по соответствующей ячейке." sqref="O125"/>
    <dataValidation type="textLength" operator="lessThanOrEqual" allowBlank="1" showInputMessage="1" showErrorMessage="1" errorTitle="Ошибка" error="Допускается ввод не более 900 символов!" sqref="R125">
      <formula1>900</formula1>
    </dataValidation>
    <dataValidation allowBlank="1" showInputMessage="1" showErrorMessage="1" prompt="Для выбора выполните двойной щелчок левой клавиши мыши по соответствующей ячейке." sqref="S125"/>
    <dataValidation type="textLength" operator="lessThanOrEqual" allowBlank="1" showInputMessage="1" showErrorMessage="1" errorTitle="Ошибка" error="Допускается ввод не более 900 символов!" sqref="V125">
      <formula1>900</formula1>
    </dataValidation>
    <dataValidation type="textLength" operator="lessThanOrEqual" allowBlank="1" showInputMessage="1" showErrorMessage="1" errorTitle="Ошибка" error="Допускается ввод не более 900 символов!" sqref="W125">
      <formula1>900</formula1>
    </dataValidation>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Выберите виды деятельности, выполнив двойной щелчок левой кнопки мыши по ячейке." sqref="G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Выберите виды деятельности, выполнив двойной щелчок левой кнопки мыши по ячейке." sqref="G127"/>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allowBlank="1" showInputMessage="1" showErrorMessage="1" prompt="Для выбора выполните двойной щелчок левой клавиши мыши по соответствующей ячейке." sqref="O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Для выбора выполните двойной щелчок левой клавиши мыши по соответствующей ячейке." sqref="S127"/>
    <dataValidation type="textLength" operator="lessThanOrEqual" allowBlank="1" showInputMessage="1" showErrorMessage="1" errorTitle="Ошибка" error="Допускается ввод не более 900 символов!" sqref="V127">
      <formula1>900</formula1>
    </dataValidation>
    <dataValidation type="textLength" operator="lessThanOrEqual" allowBlank="1" showInputMessage="1" showErrorMessage="1" errorTitle="Ошибка" error="Допускается ввод не более 900 символов!" sqref="W127">
      <formula1>900</formula1>
    </dataValidation>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Выберите виды деятельности, выполнив двойной щелчок левой кнопки мыши по ячейке." sqref="G128"/>
    <dataValidation type="textLength" operator="lessThanOrEqual" allowBlank="1" showInputMessage="1" showErrorMessage="1" errorTitle="Ошибка" error="Допускается ввод не более 900 символов!" sqref="J1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type="textLength" operator="lessThanOrEqual" allowBlank="1" showInputMessage="1" showErrorMessage="1" errorTitle="Ошибка" error="Допускается ввод не более 900 символов!" sqref="R128">
      <formula1>900</formula1>
    </dataValidation>
    <dataValidation allowBlank="1" showInputMessage="1" showErrorMessage="1" prompt="Для выбора выполните двойной щелчок левой клавиши мыши по соответствующей ячейке." sqref="S128"/>
    <dataValidation allowBlank="1" showInputMessage="1" showErrorMessage="1" prompt="Для выбора выполните двойной щелчок левой клавиши мыши по соответствующей ячейке." sqref="F129"/>
    <dataValidation allowBlank="1" showInputMessage="1" showErrorMessage="1" prompt="Выберите виды деятельности, выполнив двойной щелчок левой кнопки мыши по ячейке." sqref="G129"/>
    <dataValidation type="textLength" operator="lessThanOrEqual" allowBlank="1" showInputMessage="1" showErrorMessage="1" errorTitle="Ошибка" error="Допускается ввод не более 900 символов!" sqref="J1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9"/>
    <dataValidation allowBlank="1" showInputMessage="1" showErrorMessage="1" prompt="Для выбора выполните двойной щелчок левой клавиши мыши по соответствующей ячейке." sqref="O129"/>
    <dataValidation type="textLength" operator="lessThanOrEqual" allowBlank="1" showInputMessage="1" showErrorMessage="1" errorTitle="Ошибка" error="Допускается ввод не более 900 символов!" sqref="R129">
      <formula1>900</formula1>
    </dataValidation>
    <dataValidation allowBlank="1" showInputMessage="1" showErrorMessage="1" prompt="Для выбора выполните двойной щелчок левой клавиши мыши по соответствующей ячейке." sqref="S129"/>
    <dataValidation type="textLength" operator="lessThanOrEqual" allowBlank="1" showInputMessage="1" showErrorMessage="1" errorTitle="Ошибка" error="Допускается ввод не более 900 символов!" sqref="V129">
      <formula1>900</formula1>
    </dataValidation>
    <dataValidation type="textLength" operator="lessThanOrEqual" allowBlank="1" showInputMessage="1" showErrorMessage="1" errorTitle="Ошибка" error="Допускается ввод не более 900 символов!" sqref="W129">
      <formula1>900</formula1>
    </dataValidation>
    <dataValidation allowBlank="1" showInputMessage="1" showErrorMessage="1" prompt="Для выбора выполните двойной щелчок левой клавиши мыши по соответствующей ячейке." sqref="F130"/>
    <dataValidation allowBlank="1" showInputMessage="1" showErrorMessage="1" prompt="Выберите виды деятельности, выполнив двойной щелчок левой кнопки мыши по ячейке." sqref="G130"/>
    <dataValidation type="textLength" operator="lessThanOrEqual" allowBlank="1" showInputMessage="1" showErrorMessage="1" errorTitle="Ошибка" error="Допускается ввод не более 900 символов!" sqref="J13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0"/>
    <dataValidation type="textLength" operator="lessThanOrEqual" allowBlank="1" showInputMessage="1" showErrorMessage="1" errorTitle="Ошибка" error="Допускается ввод не более 900 символов!" sqref="R130">
      <formula1>900</formula1>
    </dataValidation>
    <dataValidation allowBlank="1" showInputMessage="1" showErrorMessage="1" prompt="Для выбора выполните двойной щелчок левой клавиши мыши по соответствующей ячейке." sqref="S130"/>
    <dataValidation allowBlank="1" showInputMessage="1" showErrorMessage="1" prompt="Для выбора выполните двойной щелчок левой клавиши мыши по соответствующей ячейке." sqref="F132"/>
    <dataValidation allowBlank="1" showInputMessage="1" showErrorMessage="1" prompt="Выберите виды деятельности, выполнив двойной щелчок левой кнопки мыши по ячейке." sqref="G132"/>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allowBlank="1" showInputMessage="1" showErrorMessage="1" prompt="Для выбора выполните двойной щелчок левой клавиши мыши по соответствующей ячейке." sqref="O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V132">
      <formula1>900</formula1>
    </dataValidation>
    <dataValidation type="textLength" operator="lessThanOrEqual" allowBlank="1" showInputMessage="1" showErrorMessage="1" errorTitle="Ошибка" error="Допускается ввод не более 900 символов!" sqref="W132">
      <formula1>900</formula1>
    </dataValidation>
    <dataValidation allowBlank="1" showInputMessage="1" showErrorMessage="1" prompt="Для выбора выполните двойной щелчок левой клавиши мыши по соответствующей ячейке." sqref="F133"/>
    <dataValidation allowBlank="1" showInputMessage="1" showErrorMessage="1" prompt="Выберите виды деятельности, выполнив двойной щелчок левой кнопки мыши по ячейке." sqref="G133"/>
    <dataValidation type="textLength" operator="lessThanOrEqual" allowBlank="1" showInputMessage="1" showErrorMessage="1" errorTitle="Ошибка" error="Допускается ввод не более 900 символов!" sqref="J1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type="textLength" operator="lessThanOrEqual" allowBlank="1" showInputMessage="1" showErrorMessage="1" errorTitle="Ошибка" error="Допускается ввод не более 900 символов!" sqref="R133">
      <formula1>900</formula1>
    </dataValidation>
    <dataValidation allowBlank="1" showInputMessage="1" showErrorMessage="1" prompt="Для выбора выполните двойной щелчок левой клавиши мыши по соответствующей ячейке." sqref="S133"/>
    <dataValidation allowBlank="1" showInputMessage="1" showErrorMessage="1" prompt="Для выбора выполните двойной щелчок левой клавиши мыши по соответствующей ячейке." sqref="F136"/>
    <dataValidation allowBlank="1" showInputMessage="1" showErrorMessage="1" prompt="Выберите виды деятельности, выполнив двойной щелчок левой кнопки мыши по ячейке." sqref="G1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6"/>
    <dataValidation allowBlank="1" showInputMessage="1" showErrorMessage="1" prompt="Для выбора выполните двойной щелчок левой клавиши мыши по соответствующей ячейке." sqref="F137"/>
    <dataValidation allowBlank="1" showInputMessage="1" showErrorMessage="1" prompt="Выберите виды деятельности, выполнив двойной щелчок левой кнопки мыши по ячейке." sqref="G137"/>
    <dataValidation type="textLength" operator="lessThanOrEqual" allowBlank="1" showInputMessage="1" showErrorMessage="1" errorTitle="Ошибка" error="Допускается ввод не более 900 символов!" sqref="J1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7"/>
    <dataValidation allowBlank="1" showInputMessage="1" showErrorMessage="1" prompt="Для выбора выполните двойной щелчок левой клавиши мыши по соответствующей ячейке." sqref="O137"/>
    <dataValidation type="textLength" operator="lessThanOrEqual" allowBlank="1" showInputMessage="1" showErrorMessage="1" errorTitle="Ошибка" error="Допускается ввод не более 900 символов!" sqref="R137">
      <formula1>900</formula1>
    </dataValidation>
    <dataValidation allowBlank="1" showInputMessage="1" showErrorMessage="1" prompt="Для выбора выполните двойной щелчок левой клавиши мыши по соответствующей ячейке." sqref="S137"/>
    <dataValidation type="textLength" operator="lessThanOrEqual" allowBlank="1" showInputMessage="1" showErrorMessage="1" errorTitle="Ошибка" error="Допускается ввод не более 900 символов!" sqref="V137">
      <formula1>900</formula1>
    </dataValidation>
    <dataValidation type="textLength" operator="lessThanOrEqual" allowBlank="1" showInputMessage="1" showErrorMessage="1" errorTitle="Ошибка" error="Допускается ввод не более 900 символов!" sqref="W137">
      <formula1>900</formula1>
    </dataValidation>
    <dataValidation allowBlank="1" showInputMessage="1" showErrorMessage="1" prompt="Для выбора выполните двойной щелчок левой клавиши мыши по соответствующей ячейке." sqref="F138"/>
    <dataValidation allowBlank="1" showInputMessage="1" showErrorMessage="1" prompt="Выберите виды деятельности, выполнив двойной щелчок левой кнопки мыши по ячейке." sqref="G138"/>
    <dataValidation type="textLength" operator="lessThanOrEqual" allowBlank="1" showInputMessage="1" showErrorMessage="1" errorTitle="Ошибка" error="Допускается ввод не более 900 символов!" sqref="J1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8"/>
    <dataValidation type="textLength" operator="lessThanOrEqual" allowBlank="1" showInputMessage="1" showErrorMessage="1" errorTitle="Ошибка" error="Допускается ввод не более 900 символов!" sqref="R138">
      <formula1>900</formula1>
    </dataValidation>
    <dataValidation allowBlank="1" showInputMessage="1" showErrorMessage="1" prompt="Для выбора выполните двойной щелчок левой клавиши мыши по соответствующей ячейке." sqref="S138"/>
    <dataValidation allowBlank="1" showInputMessage="1" showErrorMessage="1" prompt="Для выбора выполните двойной щелчок левой клавиши мыши по соответствующей ячейке." sqref="F139"/>
    <dataValidation allowBlank="1" showInputMessage="1" showErrorMessage="1" prompt="Выберите виды деятельности, выполнив двойной щелчок левой кнопки мыши по ячейке." sqref="G1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9"/>
    <dataValidation allowBlank="1" showInputMessage="1" showErrorMessage="1" prompt="Для выбора выполните двойной щелчок левой клавиши мыши по соответствующей ячейке." sqref="F140"/>
    <dataValidation allowBlank="1" showInputMessage="1" showErrorMessage="1" prompt="Выберите виды деятельности, выполнив двойной щелчок левой кнопки мыши по ячейке." sqref="G140"/>
    <dataValidation type="textLength" operator="lessThanOrEqual" allowBlank="1" showInputMessage="1" showErrorMessage="1" errorTitle="Ошибка" error="Допускается ввод не более 900 символов!" sqref="J14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0"/>
    <dataValidation allowBlank="1" showInputMessage="1" showErrorMessage="1" prompt="Для выбора выполните двойной щелчок левой клавиши мыши по соответствующей ячейке." sqref="O140"/>
    <dataValidation type="textLength" operator="lessThanOrEqual" allowBlank="1" showInputMessage="1" showErrorMessage="1" errorTitle="Ошибка" error="Допускается ввод не более 900 символов!" sqref="R140">
      <formula1>900</formula1>
    </dataValidation>
    <dataValidation allowBlank="1" showInputMessage="1" showErrorMessage="1" prompt="Для выбора выполните двойной щелчок левой клавиши мыши по соответствующей ячейке." sqref="S140"/>
    <dataValidation type="textLength" operator="lessThanOrEqual" allowBlank="1" showInputMessage="1" showErrorMessage="1" errorTitle="Ошибка" error="Допускается ввод не более 900 символов!" sqref="V140">
      <formula1>900</formula1>
    </dataValidation>
    <dataValidation type="textLength" operator="lessThanOrEqual" allowBlank="1" showInputMessage="1" showErrorMessage="1" errorTitle="Ошибка" error="Допускается ввод не более 900 символов!" sqref="W140">
      <formula1>900</formula1>
    </dataValidation>
    <dataValidation allowBlank="1" showInputMessage="1" showErrorMessage="1" prompt="Для выбора выполните двойной щелчок левой клавиши мыши по соответствующей ячейке." sqref="F141"/>
    <dataValidation allowBlank="1" showInputMessage="1" showErrorMessage="1" prompt="Выберите виды деятельности, выполнив двойной щелчок левой кнопки мыши по ячейке." sqref="G141"/>
    <dataValidation type="textLength" operator="lessThanOrEqual" allowBlank="1" showInputMessage="1" showErrorMessage="1" errorTitle="Ошибка" error="Допускается ввод не более 900 символов!" sqref="J14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1"/>
    <dataValidation type="textLength" operator="lessThanOrEqual" allowBlank="1" showInputMessage="1" showErrorMessage="1" errorTitle="Ошибка" error="Допускается ввод не более 900 символов!" sqref="R141">
      <formula1>900</formula1>
    </dataValidation>
    <dataValidation allowBlank="1" showInputMessage="1" showErrorMessage="1" prompt="Для выбора выполните двойной щелчок левой клавиши мыши по соответствующей ячейке." sqref="S141"/>
    <dataValidation allowBlank="1" showInputMessage="1" showErrorMessage="1" prompt="Для выбора выполните двойной щелчок левой клавиши мыши по соответствующей ячейке." sqref="F142"/>
    <dataValidation allowBlank="1" showInputMessage="1" showErrorMessage="1" prompt="Выберите виды деятельности, выполнив двойной щелчок левой кнопки мыши по ячейке." sqref="G1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
    <dataValidation allowBlank="1" showInputMessage="1" showErrorMessage="1" prompt="Для выбора выполните двойной щелчок левой клавиши мыши по соответствующей ячейке." sqref="F143"/>
    <dataValidation allowBlank="1" showInputMessage="1" showErrorMessage="1" prompt="Выберите виды деятельности, выполнив двойной щелчок левой кнопки мыши по ячейке." sqref="G143"/>
    <dataValidation type="textLength" operator="lessThanOrEqual" allowBlank="1" showInputMessage="1" showErrorMessage="1" errorTitle="Ошибка" error="Допускается ввод не более 900 символов!" sqref="J14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3"/>
    <dataValidation allowBlank="1" showInputMessage="1" showErrorMessage="1" prompt="Для выбора выполните двойной щелчок левой клавиши мыши по соответствующей ячейке." sqref="O143"/>
    <dataValidation type="textLength" operator="lessThanOrEqual" allowBlank="1" showInputMessage="1" showErrorMessage="1" errorTitle="Ошибка" error="Допускается ввод не более 900 символов!" sqref="R143">
      <formula1>900</formula1>
    </dataValidation>
    <dataValidation allowBlank="1" showInputMessage="1" showErrorMessage="1" prompt="Для выбора выполните двойной щелчок левой клавиши мыши по соответствующей ячейке." sqref="S143"/>
    <dataValidation type="textLength" operator="lessThanOrEqual" allowBlank="1" showInputMessage="1" showErrorMessage="1" errorTitle="Ошибка" error="Допускается ввод не более 900 символов!" sqref="V143">
      <formula1>900</formula1>
    </dataValidation>
    <dataValidation type="textLength" operator="lessThanOrEqual" allowBlank="1" showInputMessage="1" showErrorMessage="1" errorTitle="Ошибка" error="Допускается ввод не более 900 символов!" sqref="W143">
      <formula1>900</formula1>
    </dataValidation>
    <dataValidation allowBlank="1" showInputMessage="1" showErrorMessage="1" prompt="Для выбора выполните двойной щелчок левой клавиши мыши по соответствующей ячейке." sqref="F144"/>
    <dataValidation allowBlank="1" showInputMessage="1" showErrorMessage="1" prompt="Выберите виды деятельности, выполнив двойной щелчок левой кнопки мыши по ячейке." sqref="G144"/>
    <dataValidation type="textLength" operator="lessThanOrEqual" allowBlank="1" showInputMessage="1" showErrorMessage="1" errorTitle="Ошибка" error="Допускается ввод не более 900 символов!" sqref="J14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4"/>
    <dataValidation type="textLength" operator="lessThanOrEqual" allowBlank="1" showInputMessage="1" showErrorMessage="1" errorTitle="Ошибка" error="Допускается ввод не более 900 символов!" sqref="R144">
      <formula1>900</formula1>
    </dataValidation>
    <dataValidation allowBlank="1" showInputMessage="1" showErrorMessage="1" prompt="Для выбора выполните двойной щелчок левой клавиши мыши по соответствующей ячейке." sqref="S144"/>
    <dataValidation allowBlank="1" showInputMessage="1" showErrorMessage="1" prompt="Для выбора выполните двойной щелчок левой клавиши мыши по соответствующей ячейке." sqref="F145"/>
    <dataValidation allowBlank="1" showInputMessage="1" showErrorMessage="1" prompt="Выберите виды деятельности, выполнив двойной щелчок левой кнопки мыши по ячейке." sqref="G14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5"/>
    <dataValidation allowBlank="1" showInputMessage="1" showErrorMessage="1" prompt="Для выбора выполните двойной щелчок левой клавиши мыши по соответствующей ячейке." sqref="F146"/>
    <dataValidation allowBlank="1" showInputMessage="1" showErrorMessage="1" prompt="Выберите виды деятельности, выполнив двойной щелчок левой кнопки мыши по ячейке." sqref="G146"/>
    <dataValidation type="textLength" operator="lessThanOrEqual" allowBlank="1" showInputMessage="1" showErrorMessage="1" errorTitle="Ошибка" error="Допускается ввод не более 900 символов!" sqref="J14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
    <dataValidation allowBlank="1" showInputMessage="1" showErrorMessage="1" prompt="Для выбора выполните двойной щелчок левой клавиши мыши по соответствующей ячейке." sqref="O146"/>
    <dataValidation type="textLength" operator="lessThanOrEqual" allowBlank="1" showInputMessage="1" showErrorMessage="1" errorTitle="Ошибка" error="Допускается ввод не более 900 символов!" sqref="R146">
      <formula1>900</formula1>
    </dataValidation>
    <dataValidation allowBlank="1" showInputMessage="1" showErrorMessage="1" prompt="Для выбора выполните двойной щелчок левой клавиши мыши по соответствующей ячейке." sqref="S146"/>
    <dataValidation type="textLength" operator="lessThanOrEqual" allowBlank="1" showInputMessage="1" showErrorMessage="1" errorTitle="Ошибка" error="Допускается ввод не более 900 символов!" sqref="V146">
      <formula1>900</formula1>
    </dataValidation>
    <dataValidation type="textLength" operator="lessThanOrEqual" allowBlank="1" showInputMessage="1" showErrorMessage="1" errorTitle="Ошибка" error="Допускается ввод не более 900 символов!" sqref="W146">
      <formula1>900</formula1>
    </dataValidation>
    <dataValidation allowBlank="1" showInputMessage="1" showErrorMessage="1" prompt="Для выбора выполните двойной щелчок левой клавиши мыши по соответствующей ячейке." sqref="F147"/>
    <dataValidation allowBlank="1" showInputMessage="1" showErrorMessage="1" prompt="Выберите виды деятельности, выполнив двойной щелчок левой кнопки мыши по ячейке." sqref="G147"/>
    <dataValidation type="textLength" operator="lessThanOrEqual" allowBlank="1" showInputMessage="1" showErrorMessage="1" errorTitle="Ошибка" error="Допускается ввод не более 900 символов!" sqref="J14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7"/>
    <dataValidation type="textLength" operator="lessThanOrEqual" allowBlank="1" showInputMessage="1" showErrorMessage="1" errorTitle="Ошибка" error="Допускается ввод не более 900 символов!" sqref="R147">
      <formula1>900</formula1>
    </dataValidation>
    <dataValidation allowBlank="1" showInputMessage="1" showErrorMessage="1" prompt="Для выбора выполните двойной щелчок левой клавиши мыши по соответствующей ячейке." sqref="S147"/>
    <dataValidation allowBlank="1" showInputMessage="1" showErrorMessage="1" prompt="Для выбора выполните двойной щелчок левой клавиши мыши по соответствующей ячейке." sqref="F150"/>
    <dataValidation allowBlank="1" showInputMessage="1" showErrorMessage="1" prompt="Выберите виды деятельности, выполнив двойной щелчок левой кнопки мыши по ячейке." sqref="G15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0"/>
    <dataValidation allowBlank="1" showInputMessage="1" showErrorMessage="1" prompt="Для выбора выполните двойной щелчок левой клавиши мыши по соответствующей ячейке." sqref="F148"/>
    <dataValidation allowBlank="1" showInputMessage="1" showErrorMessage="1" prompt="Выберите виды деятельности, выполнив двойной щелчок левой кнопки мыши по ячейке." sqref="G148"/>
    <dataValidation type="textLength" operator="lessThanOrEqual" allowBlank="1" showInputMessage="1" showErrorMessage="1" errorTitle="Ошибка" error="Допускается ввод не более 900 символов!" sqref="J14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8"/>
    <dataValidation allowBlank="1" showInputMessage="1" showErrorMessage="1" prompt="Для выбора выполните двойной щелчок левой клавиши мыши по соответствующей ячейке." sqref="O148"/>
    <dataValidation type="textLength" operator="lessThanOrEqual" allowBlank="1" showInputMessage="1" showErrorMessage="1" errorTitle="Ошибка" error="Допускается ввод не более 900 символов!" sqref="R148">
      <formula1>900</formula1>
    </dataValidation>
    <dataValidation allowBlank="1" showInputMessage="1" showErrorMessage="1" prompt="Для выбора выполните двойной щелчок левой клавиши мыши по соответствующей ячейке." sqref="S148"/>
    <dataValidation type="textLength" operator="lessThanOrEqual" allowBlank="1" showInputMessage="1" showErrorMessage="1" errorTitle="Ошибка" error="Допускается ввод не более 900 символов!" sqref="V148">
      <formula1>900</formula1>
    </dataValidation>
    <dataValidation type="textLength" operator="lessThanOrEqual" allowBlank="1" showInputMessage="1" showErrorMessage="1" errorTitle="Ошибка" error="Допускается ввод не более 900 символов!" sqref="W148">
      <formula1>900</formula1>
    </dataValidation>
    <dataValidation allowBlank="1" showInputMessage="1" showErrorMessage="1" prompt="Для выбора выполните двойной щелчок левой клавиши мыши по соответствующей ячейке." sqref="F149"/>
    <dataValidation allowBlank="1" showInputMessage="1" showErrorMessage="1" prompt="Выберите виды деятельности, выполнив двойной щелчок левой кнопки мыши по ячейке." sqref="G149"/>
    <dataValidation type="textLength" operator="lessThanOrEqual" allowBlank="1" showInputMessage="1" showErrorMessage="1" errorTitle="Ошибка" error="Допускается ввод не более 900 символов!" sqref="J1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9"/>
    <dataValidation type="textLength" operator="lessThanOrEqual" allowBlank="1" showInputMessage="1" showErrorMessage="1" errorTitle="Ошибка" error="Допускается ввод не более 900 символов!" sqref="R149">
      <formula1>900</formula1>
    </dataValidation>
    <dataValidation allowBlank="1" showInputMessage="1" showErrorMessage="1" prompt="Для выбора выполните двойной щелчок левой клавиши мыши по соответствующей ячейке." sqref="S149"/>
    <dataValidation allowBlank="1" showInputMessage="1" showErrorMessage="1" prompt="Для выбора выполните двойной щелчок левой клавиши мыши по соответствующей ячейке." sqref="F151"/>
    <dataValidation allowBlank="1" showInputMessage="1" showErrorMessage="1" prompt="Выберите виды деятельности, выполнив двойной щелчок левой кнопки мыши по ячейке." sqref="G151"/>
    <dataValidation type="textLength" operator="lessThanOrEqual" allowBlank="1" showInputMessage="1" showErrorMessage="1" errorTitle="Ошибка" error="Допускается ввод не более 900 символов!" sqref="J15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1"/>
    <dataValidation allowBlank="1" showInputMessage="1" showErrorMessage="1" prompt="Для выбора выполните двойной щелчок левой клавиши мыши по соответствующей ячейке." sqref="O151"/>
    <dataValidation type="textLength" operator="lessThanOrEqual" allowBlank="1" showInputMessage="1" showErrorMessage="1" errorTitle="Ошибка" error="Допускается ввод не более 900 символов!" sqref="R151">
      <formula1>900</formula1>
    </dataValidation>
    <dataValidation allowBlank="1" showInputMessage="1" showErrorMessage="1" prompt="Для выбора выполните двойной щелчок левой клавиши мыши по соответствующей ячейке." sqref="S151"/>
    <dataValidation type="textLength" operator="lessThanOrEqual" allowBlank="1" showInputMessage="1" showErrorMessage="1" errorTitle="Ошибка" error="Допускается ввод не более 900 символов!" sqref="V151">
      <formula1>900</formula1>
    </dataValidation>
    <dataValidation type="textLength" operator="lessThanOrEqual" allowBlank="1" showInputMessage="1" showErrorMessage="1" errorTitle="Ошибка" error="Допускается ввод не более 900 символов!" sqref="W151">
      <formula1>900</formula1>
    </dataValidation>
    <dataValidation allowBlank="1" showInputMessage="1" showErrorMessage="1" prompt="Для выбора выполните двойной щелчок левой клавиши мыши по соответствующей ячейке." sqref="F152"/>
    <dataValidation allowBlank="1" showInputMessage="1" showErrorMessage="1" prompt="Выберите виды деятельности, выполнив двойной щелчок левой кнопки мыши по ячейке." sqref="G152"/>
    <dataValidation type="textLength" operator="lessThanOrEqual" allowBlank="1" showInputMessage="1" showErrorMessage="1" errorTitle="Ошибка" error="Допускается ввод не более 900 символов!" sqref="J15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2"/>
    <dataValidation type="textLength" operator="lessThanOrEqual" allowBlank="1" showInputMessage="1" showErrorMessage="1" errorTitle="Ошибка" error="Допускается ввод не более 900 символов!" sqref="R152">
      <formula1>900</formula1>
    </dataValidation>
    <dataValidation allowBlank="1" showInputMessage="1" showErrorMessage="1" prompt="Для выбора выполните двойной щелчок левой клавиши мыши по соответствующей ячейке." sqref="S152"/>
    <dataValidation allowBlank="1" showInputMessage="1" showErrorMessage="1" prompt="Для выбора выполните двойной щелчок левой клавиши мыши по соответствующей ячейке." sqref="F153"/>
    <dataValidation allowBlank="1" showInputMessage="1" showErrorMessage="1" prompt="Выберите виды деятельности, выполнив двойной щелчок левой кнопки мыши по ячейке." sqref="G1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3"/>
    <dataValidation allowBlank="1" showInputMessage="1" showErrorMessage="1" prompt="Для выбора выполните двойной щелчок левой клавиши мыши по соответствующей ячейке." sqref="F154"/>
    <dataValidation allowBlank="1" showInputMessage="1" showErrorMessage="1" prompt="Выберите виды деятельности, выполнив двойной щелчок левой кнопки мыши по ячейке." sqref="G154"/>
    <dataValidation type="textLength" operator="lessThanOrEqual" allowBlank="1" showInputMessage="1" showErrorMessage="1" errorTitle="Ошибка" error="Допускается ввод не более 900 символов!" sqref="J1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
    <dataValidation allowBlank="1" showInputMessage="1" showErrorMessage="1" prompt="Для выбора выполните двойной щелчок левой клавиши мыши по соответствующей ячейке." sqref="O154"/>
    <dataValidation type="textLength" operator="lessThanOrEqual" allowBlank="1" showInputMessage="1" showErrorMessage="1" errorTitle="Ошибка" error="Допускается ввод не более 900 символов!" sqref="R154">
      <formula1>900</formula1>
    </dataValidation>
    <dataValidation allowBlank="1" showInputMessage="1" showErrorMessage="1" prompt="Для выбора выполните двойной щелчок левой клавиши мыши по соответствующей ячейке." sqref="S154"/>
    <dataValidation type="textLength" operator="lessThanOrEqual" allowBlank="1" showInputMessage="1" showErrorMessage="1" errorTitle="Ошибка" error="Допускается ввод не более 900 символов!" sqref="V154">
      <formula1>900</formula1>
    </dataValidation>
    <dataValidation type="textLength" operator="lessThanOrEqual" allowBlank="1" showInputMessage="1" showErrorMessage="1" errorTitle="Ошибка" error="Допускается ввод не более 900 символов!" sqref="W154">
      <formula1>900</formula1>
    </dataValidation>
    <dataValidation allowBlank="1" showInputMessage="1" showErrorMessage="1" prompt="Для выбора выполните двойной щелчок левой клавиши мыши по соответствующей ячейке." sqref="F155"/>
    <dataValidation allowBlank="1" showInputMessage="1" showErrorMessage="1" prompt="Выберите виды деятельности, выполнив двойной щелчок левой кнопки мыши по ячейке." sqref="G155"/>
    <dataValidation type="textLength" operator="lessThanOrEqual" allowBlank="1" showInputMessage="1" showErrorMessage="1" errorTitle="Ошибка" error="Допускается ввод не более 900 символов!" sqref="J15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5"/>
    <dataValidation type="textLength" operator="lessThanOrEqual" allowBlank="1" showInputMessage="1" showErrorMessage="1" errorTitle="Ошибка" error="Допускается ввод не более 900 символов!" sqref="R155">
      <formula1>900</formula1>
    </dataValidation>
    <dataValidation allowBlank="1" showInputMessage="1" showErrorMessage="1" prompt="Для выбора выполните двойной щелчок левой клавиши мыши по соответствующей ячейке." sqref="S155"/>
    <dataValidation allowBlank="1" showInputMessage="1" showErrorMessage="1" prompt="Для выбора выполните двойной щелчок левой клавиши мыши по соответствующей ячейке." sqref="F162"/>
    <dataValidation allowBlank="1" showInputMessage="1" showErrorMessage="1" prompt="Выберите виды деятельности, выполнив двойной щелчок левой кнопки мыши по ячейке." sqref="G16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2"/>
    <dataValidation allowBlank="1" showInputMessage="1" showErrorMessage="1" prompt="Для выбора выполните двойной щелчок левой клавиши мыши по соответствующей ячейке." sqref="F163"/>
    <dataValidation allowBlank="1" showInputMessage="1" showErrorMessage="1" prompt="Выберите виды деятельности, выполнив двойной щелчок левой кнопки мыши по ячейке." sqref="G163"/>
    <dataValidation type="textLength" operator="lessThanOrEqual" allowBlank="1" showInputMessage="1" showErrorMessage="1" errorTitle="Ошибка" error="Допускается ввод не более 900 символов!" sqref="J16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3"/>
    <dataValidation allowBlank="1" showInputMessage="1" showErrorMessage="1" prompt="Для выбора выполните двойной щелчок левой клавиши мыши по соответствующей ячейке." sqref="O163"/>
    <dataValidation type="textLength" operator="lessThanOrEqual" allowBlank="1" showInputMessage="1" showErrorMessage="1" errorTitle="Ошибка" error="Допускается ввод не более 900 символов!" sqref="R163">
      <formula1>900</formula1>
    </dataValidation>
    <dataValidation allowBlank="1" showInputMessage="1" showErrorMessage="1" prompt="Для выбора выполните двойной щелчок левой клавиши мыши по соответствующей ячейке." sqref="S163"/>
    <dataValidation type="textLength" operator="lessThanOrEqual" allowBlank="1" showInputMessage="1" showErrorMessage="1" errorTitle="Ошибка" error="Допускается ввод не более 900 символов!" sqref="V163">
      <formula1>900</formula1>
    </dataValidation>
    <dataValidation type="textLength" operator="lessThanOrEqual" allowBlank="1" showInputMessage="1" showErrorMessage="1" errorTitle="Ошибка" error="Допускается ввод не более 900 символов!" sqref="W163">
      <formula1>900</formula1>
    </dataValidation>
    <dataValidation allowBlank="1" showInputMessage="1" showErrorMessage="1" prompt="Для выбора выполните двойной щелчок левой клавиши мыши по соответствующей ячейке." sqref="F164"/>
    <dataValidation allowBlank="1" showInputMessage="1" showErrorMessage="1" prompt="Выберите виды деятельности, выполнив двойной щелчок левой кнопки мыши по ячейке." sqref="G164"/>
    <dataValidation type="textLength" operator="lessThanOrEqual" allowBlank="1" showInputMessage="1" showErrorMessage="1" errorTitle="Ошибка" error="Допускается ввод не более 900 символов!" sqref="J16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4"/>
    <dataValidation type="textLength" operator="lessThanOrEqual" allowBlank="1" showInputMessage="1" showErrorMessage="1" errorTitle="Ошибка" error="Допускается ввод не более 900 символов!" sqref="R164">
      <formula1>900</formula1>
    </dataValidation>
    <dataValidation allowBlank="1" showInputMessage="1" showErrorMessage="1" prompt="Для выбора выполните двойной щелчок левой клавиши мыши по соответствующей ячейке." sqref="S164"/>
    <dataValidation allowBlank="1" showInputMessage="1" showErrorMessage="1" prompt="Для выбора выполните двойной щелчок левой клавиши мыши по соответствующей ячейке." sqref="F165"/>
    <dataValidation allowBlank="1" showInputMessage="1" showErrorMessage="1" prompt="Выберите виды деятельности, выполнив двойной щелчок левой кнопки мыши по ячейке." sqref="G1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5"/>
    <dataValidation allowBlank="1" showInputMessage="1" showErrorMessage="1" prompt="Для выбора выполните двойной щелчок левой клавиши мыши по соответствующей ячейке." sqref="F156"/>
    <dataValidation allowBlank="1" showInputMessage="1" showErrorMessage="1" prompt="Выберите виды деятельности, выполнив двойной щелчок левой кнопки мыши по ячейке." sqref="G156"/>
    <dataValidation type="textLength" operator="lessThanOrEqual" allowBlank="1" showInputMessage="1" showErrorMessage="1" errorTitle="Ошибка" error="Допускается ввод не более 900 символов!" sqref="J15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6"/>
    <dataValidation allowBlank="1" showInputMessage="1" showErrorMessage="1" prompt="Для выбора выполните двойной щелчок левой клавиши мыши по соответствующей ячейке." sqref="O156"/>
    <dataValidation type="textLength" operator="lessThanOrEqual" allowBlank="1" showInputMessage="1" showErrorMessage="1" errorTitle="Ошибка" error="Допускается ввод не более 900 символов!" sqref="R156">
      <formula1>900</formula1>
    </dataValidation>
    <dataValidation allowBlank="1" showInputMessage="1" showErrorMessage="1" prompt="Для выбора выполните двойной щелчок левой клавиши мыши по соответствующей ячейке." sqref="S156"/>
    <dataValidation type="textLength" operator="lessThanOrEqual" allowBlank="1" showInputMessage="1" showErrorMessage="1" errorTitle="Ошибка" error="Допускается ввод не более 900 символов!" sqref="V156">
      <formula1>900</formula1>
    </dataValidation>
    <dataValidation type="textLength" operator="lessThanOrEqual" allowBlank="1" showInputMessage="1" showErrorMessage="1" errorTitle="Ошибка" error="Допускается ввод не более 900 символов!" sqref="W156">
      <formula1>900</formula1>
    </dataValidation>
    <dataValidation allowBlank="1" showInputMessage="1" showErrorMessage="1" prompt="Для выбора выполните двойной щелчок левой клавиши мыши по соответствующей ячейке." sqref="F157"/>
    <dataValidation allowBlank="1" showInputMessage="1" showErrorMessage="1" prompt="Выберите виды деятельности, выполнив двойной щелчок левой кнопки мыши по ячейке." sqref="G157"/>
    <dataValidation type="textLength" operator="lessThanOrEqual" allowBlank="1" showInputMessage="1" showErrorMessage="1" errorTitle="Ошибка" error="Допускается ввод не более 900 символов!" sqref="J15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7"/>
    <dataValidation type="textLength" operator="lessThanOrEqual" allowBlank="1" showInputMessage="1" showErrorMessage="1" errorTitle="Ошибка" error="Допускается ввод не более 900 символов!" sqref="R157">
      <formula1>900</formula1>
    </dataValidation>
    <dataValidation allowBlank="1" showInputMessage="1" showErrorMessage="1" prompt="Для выбора выполните двойной щелчок левой клавиши мыши по соответствующей ячейке." sqref="S157"/>
    <dataValidation allowBlank="1" showInputMessage="1" showErrorMessage="1" prompt="Для выбора выполните двойной щелчок левой клавиши мыши по соответствующей ячейке." sqref="F158"/>
    <dataValidation allowBlank="1" showInputMessage="1" showErrorMessage="1" prompt="Выберите виды деятельности, выполнив двойной щелчок левой кнопки мыши по ячейке." sqref="G158"/>
    <dataValidation type="textLength" operator="lessThanOrEqual" allowBlank="1" showInputMessage="1" showErrorMessage="1" errorTitle="Ошибка" error="Допускается ввод не более 900 символов!" sqref="J15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8"/>
    <dataValidation allowBlank="1" showInputMessage="1" showErrorMessage="1" prompt="Для выбора выполните двойной щелчок левой клавиши мыши по соответствующей ячейке." sqref="O158"/>
    <dataValidation type="textLength" operator="lessThanOrEqual" allowBlank="1" showInputMessage="1" showErrorMessage="1" errorTitle="Ошибка" error="Допускается ввод не более 900 символов!" sqref="R158">
      <formula1>900</formula1>
    </dataValidation>
    <dataValidation allowBlank="1" showInputMessage="1" showErrorMessage="1" prompt="Для выбора выполните двойной щелчок левой клавиши мыши по соответствующей ячейке." sqref="S158"/>
    <dataValidation type="textLength" operator="lessThanOrEqual" allowBlank="1" showInputMessage="1" showErrorMessage="1" errorTitle="Ошибка" error="Допускается ввод не более 900 символов!" sqref="V158">
      <formula1>900</formula1>
    </dataValidation>
    <dataValidation type="textLength" operator="lessThanOrEqual" allowBlank="1" showInputMessage="1" showErrorMessage="1" errorTitle="Ошибка" error="Допускается ввод не более 900 символов!" sqref="W158">
      <formula1>900</formula1>
    </dataValidation>
    <dataValidation allowBlank="1" showInputMessage="1" showErrorMessage="1" prompt="Для выбора выполните двойной щелчок левой клавиши мыши по соответствующей ячейке." sqref="F159"/>
    <dataValidation allowBlank="1" showInputMessage="1" showErrorMessage="1" prompt="Выберите виды деятельности, выполнив двойной щелчок левой кнопки мыши по ячейке." sqref="G159"/>
    <dataValidation type="textLength" operator="lessThanOrEqual" allowBlank="1" showInputMessage="1" showErrorMessage="1" errorTitle="Ошибка" error="Допускается ввод не более 900 символов!" sqref="J1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9"/>
    <dataValidation type="textLength" operator="lessThanOrEqual" allowBlank="1" showInputMessage="1" showErrorMessage="1" errorTitle="Ошибка" error="Допускается ввод не более 900 символов!" sqref="R159">
      <formula1>900</formula1>
    </dataValidation>
    <dataValidation allowBlank="1" showInputMessage="1" showErrorMessage="1" prompt="Для выбора выполните двойной щелчок левой клавиши мыши по соответствующей ячейке." sqref="S159"/>
    <dataValidation allowBlank="1" showInputMessage="1" showErrorMessage="1" prompt="Для выбора выполните двойной щелчок левой клавиши мыши по соответствующей ячейке." sqref="F160"/>
    <dataValidation allowBlank="1" showInputMessage="1" showErrorMessage="1" prompt="Выберите виды деятельности, выполнив двойной щелчок левой кнопки мыши по ячейке." sqref="G160"/>
    <dataValidation type="textLength" operator="lessThanOrEqual" allowBlank="1" showInputMessage="1" showErrorMessage="1" errorTitle="Ошибка" error="Допускается ввод не более 900 символов!" sqref="J16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0"/>
    <dataValidation allowBlank="1" showInputMessage="1" showErrorMessage="1" prompt="Для выбора выполните двойной щелчок левой клавиши мыши по соответствующей ячейке." sqref="O160"/>
    <dataValidation type="textLength" operator="lessThanOrEqual" allowBlank="1" showInputMessage="1" showErrorMessage="1" errorTitle="Ошибка" error="Допускается ввод не более 900 символов!" sqref="R160">
      <formula1>900</formula1>
    </dataValidation>
    <dataValidation allowBlank="1" showInputMessage="1" showErrorMessage="1" prompt="Для выбора выполните двойной щелчок левой клавиши мыши по соответствующей ячейке." sqref="S160"/>
    <dataValidation type="textLength" operator="lessThanOrEqual" allowBlank="1" showInputMessage="1" showErrorMessage="1" errorTitle="Ошибка" error="Допускается ввод не более 900 символов!" sqref="V160">
      <formula1>900</formula1>
    </dataValidation>
    <dataValidation type="textLength" operator="lessThanOrEqual" allowBlank="1" showInputMessage="1" showErrorMessage="1" errorTitle="Ошибка" error="Допускается ввод не более 900 символов!" sqref="W160">
      <formula1>900</formula1>
    </dataValidation>
    <dataValidation allowBlank="1" showInputMessage="1" showErrorMessage="1" prompt="Для выбора выполните двойной щелчок левой клавиши мыши по соответствующей ячейке." sqref="F161"/>
    <dataValidation allowBlank="1" showInputMessage="1" showErrorMessage="1" prompt="Выберите виды деятельности, выполнив двойной щелчок левой кнопки мыши по ячейке." sqref="G161"/>
    <dataValidation type="textLength" operator="lessThanOrEqual" allowBlank="1" showInputMessage="1" showErrorMessage="1" errorTitle="Ошибка" error="Допускается ввод не более 900 символов!" sqref="J16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1"/>
    <dataValidation type="textLength" operator="lessThanOrEqual" allowBlank="1" showInputMessage="1" showErrorMessage="1" errorTitle="Ошибка" error="Допускается ввод не более 900 символов!" sqref="R161">
      <formula1>900</formula1>
    </dataValidation>
    <dataValidation allowBlank="1" showInputMessage="1" showErrorMessage="1" prompt="Для выбора выполните двойной щелчок левой клавиши мыши по соответствующей ячейке." sqref="S161"/>
    <dataValidation allowBlank="1" showInputMessage="1" showErrorMessage="1" prompt="Для выбора выполните двойной щелчок левой клавиши мыши по соответствующей ячейке." sqref="F134"/>
    <dataValidation allowBlank="1" showInputMessage="1" showErrorMessage="1" prompt="Выберите виды деятельности, выполнив двойной щелчок левой кнопки мыши по ячейке." sqref="G134"/>
    <dataValidation type="textLength" operator="lessThanOrEqual" allowBlank="1" showInputMessage="1" showErrorMessage="1" errorTitle="Ошибка" error="Допускается ввод не более 900 символов!" sqref="J1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4"/>
    <dataValidation allowBlank="1" showInputMessage="1" showErrorMessage="1" prompt="Для выбора выполните двойной щелчок левой клавиши мыши по соответствующей ячейке." sqref="O134"/>
    <dataValidation type="textLength" operator="lessThanOrEqual" allowBlank="1" showInputMessage="1" showErrorMessage="1" errorTitle="Ошибка" error="Допускается ввод не более 900 символов!" sqref="R134">
      <formula1>900</formula1>
    </dataValidation>
    <dataValidation allowBlank="1" showInputMessage="1" showErrorMessage="1" prompt="Для выбора выполните двойной щелчок левой клавиши мыши по соответствующей ячейке." sqref="S134"/>
    <dataValidation type="textLength" operator="lessThanOrEqual" allowBlank="1" showInputMessage="1" showErrorMessage="1" errorTitle="Ошибка" error="Допускается ввод не более 900 символов!" sqref="V134">
      <formula1>900</formula1>
    </dataValidation>
    <dataValidation type="textLength" operator="lessThanOrEqual" allowBlank="1" showInputMessage="1" showErrorMessage="1" errorTitle="Ошибка" error="Допускается ввод не более 900 символов!" sqref="W134">
      <formula1>900</formula1>
    </dataValidation>
    <dataValidation allowBlank="1" showInputMessage="1" showErrorMessage="1" prompt="Для выбора выполните двойной щелчок левой клавиши мыши по соответствующей ячейке." sqref="F135"/>
    <dataValidation allowBlank="1" showInputMessage="1" showErrorMessage="1" prompt="Выберите виды деятельности, выполнив двойной щелчок левой кнопки мыши по ячейке." sqref="G135"/>
    <dataValidation type="textLength" operator="lessThanOrEqual" allowBlank="1" showInputMessage="1" showErrorMessage="1" errorTitle="Ошибка" error="Допускается ввод не более 900 символов!" sqref="J1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5"/>
    <dataValidation type="textLength" operator="lessThanOrEqual" allowBlank="1" showInputMessage="1" showErrorMessage="1" errorTitle="Ошибка" error="Допускается ввод не более 900 символов!" sqref="R135">
      <formula1>900</formula1>
    </dataValidation>
    <dataValidation allowBlank="1" showInputMessage="1" showErrorMessage="1" prompt="Для выбора выполните двойной щелчок левой клавиши мыши по соответствующей ячейке." sqref="S13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B243F-0CAA-C4F2-FECF-ADA55891E9E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28" width="9.140625" hidden="1"/>
    <col min="3" max="4" style="5528" width="3.00390625" customWidth="1"/>
    <col min="5" max="6" style="5528" width="15.00390625" customWidth="1"/>
    <col min="7" max="7" style="5528" width="11.57421875" customWidth="1"/>
    <col min="8" max="9" style="5528" width="3.00390625" customWidth="1"/>
    <col min="10" max="10" style="5528" width="12.00390625" customWidth="1"/>
    <col min="11" max="11" style="5528" width="0.28125" customWidth="1"/>
    <col min="12" max="13" style="5528" width="10.00390625" customWidth="1"/>
    <col min="14" max="15" style="5528" width="3.00390625" customWidth="1"/>
    <col min="16" max="16" style="5528" width="19.00390625" customWidth="1"/>
    <col min="17" max="17" style="5528" width="0.28125" customWidth="1"/>
    <col min="18" max="19" style="5528" width="10.00390625" customWidth="1"/>
    <col min="20" max="21" style="5528" width="3.00390625" customWidth="1"/>
    <col min="22" max="22" style="5528" width="25.00390625" customWidth="1"/>
    <col min="23" max="23" style="5528" width="0.28125" customWidth="1"/>
    <col min="24" max="25" style="5528" width="10.00390625" customWidth="1"/>
    <col min="26" max="27" style="5528" width="3.00390625" customWidth="1"/>
    <col min="28" max="28" style="5528" width="16.00390625" customWidth="1"/>
    <col min="29" max="29" style="5528" width="0.28125" customWidth="1"/>
    <col min="30" max="31" style="5528" width="10.00390625" customWidth="1"/>
    <col min="32" max="33" style="5528" width="3.00390625" customWidth="1"/>
    <col min="34" max="34" style="5528" width="8.00390625" customWidth="1"/>
    <col min="35" max="35" style="5528" width="21.00390625" customWidth="1"/>
    <col min="36" max="36" style="5528" width="8.00390625" customWidth="1"/>
    <col min="37" max="37" style="5941" width="8.00390625" customWidth="1"/>
    <col min="38" max="64" style="5528" width="8.00390625" customWidth="1"/>
    <col min="65" max="65" style="5528" width="9.140625" hidden="1"/>
  </cols>
  <sheetData>
    <row s="5867"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68" customFormat="1" customHeight="1" ht="11.25" hidden="1">
      <c r="L2" s="1666" t="s">
        <v>372</v>
      </c>
      <c r="M2" s="1666" t="s">
        <v>373</v>
      </c>
      <c r="R2" s="1666" t="s">
        <v>374</v>
      </c>
      <c r="S2" s="1666" t="s">
        <v>373</v>
      </c>
      <c r="X2" s="1666" t="s">
        <v>372</v>
      </c>
      <c r="Y2" s="1666" t="s">
        <v>373</v>
      </c>
      <c r="AD2" s="1666" t="s">
        <v>372</v>
      </c>
      <c r="AE2" s="1666" t="s">
        <v>373</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71"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83" customFormat="1" customHeight="1" ht="34.5">
      <c r="A4" s="1269"/>
      <c r="B4" s="1268"/>
      <c r="C4" s="1628"/>
      <c r="D4" s="2304" t="s">
        <v>375</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83" customFormat="1" customHeight="1" ht="14.699999999999998">
      <c r="A5" s="1745"/>
      <c r="B5" s="1744"/>
      <c r="C5" s="1628"/>
      <c r="D5" s="2289" t="str">
        <f>IF(org=0,"Не определено",org)</f>
        <v>КГУП "Примтеплоэнерго"</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83"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67"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141</v>
      </c>
      <c r="F8" s="2305" t="s">
        <v>154</v>
      </c>
      <c r="G8" s="2306"/>
      <c r="H8" s="2305" t="s">
        <v>88</v>
      </c>
      <c r="I8" s="2306"/>
      <c r="J8" s="2240" t="s">
        <v>155</v>
      </c>
      <c r="K8" s="1669"/>
      <c r="L8" s="2309" t="s">
        <v>376</v>
      </c>
      <c r="M8" s="2309"/>
      <c r="N8" s="2309"/>
      <c r="O8" s="2309"/>
      <c r="P8" s="2309"/>
      <c r="Q8" s="1670"/>
      <c r="R8" s="2209" t="s">
        <v>377</v>
      </c>
      <c r="S8" s="2310"/>
      <c r="T8" s="2310"/>
      <c r="U8" s="2310"/>
      <c r="V8" s="2310"/>
      <c r="W8" s="1670"/>
      <c r="X8" s="2311" t="s">
        <v>378</v>
      </c>
      <c r="Y8" s="2311"/>
      <c r="Z8" s="2311"/>
      <c r="AA8" s="2311"/>
      <c r="AB8" s="2311"/>
      <c r="AC8" s="1671"/>
      <c r="AD8" s="2240" t="s">
        <v>379</v>
      </c>
      <c r="AE8" s="2240"/>
      <c r="AF8" s="2240"/>
      <c r="AG8" s="2240"/>
      <c r="AH8" s="2214"/>
      <c r="AI8" s="2240" t="s">
        <v>380</v>
      </c>
      <c r="AJ8" s="1687"/>
      <c r="BM8" s="406">
        <v>32</v>
      </c>
    </row>
    <row customHeight="1" ht="23.25">
      <c r="D9" s="2240"/>
      <c r="E9" s="2240"/>
      <c r="F9" s="2288" t="s">
        <v>89</v>
      </c>
      <c r="G9" s="2288" t="s">
        <v>160</v>
      </c>
      <c r="H9" s="2307"/>
      <c r="I9" s="2308"/>
      <c r="J9" s="2214"/>
      <c r="K9" s="1672"/>
      <c r="L9" s="2240" t="s">
        <v>381</v>
      </c>
      <c r="M9" s="2214"/>
      <c r="N9" s="2305" t="s">
        <v>88</v>
      </c>
      <c r="O9" s="2306"/>
      <c r="P9" s="2240" t="s">
        <v>161</v>
      </c>
      <c r="Q9" s="1669"/>
      <c r="R9" s="2240" t="s">
        <v>381</v>
      </c>
      <c r="S9" s="2214"/>
      <c r="T9" s="2305" t="s">
        <v>88</v>
      </c>
      <c r="U9" s="2306"/>
      <c r="V9" s="2240" t="s">
        <v>161</v>
      </c>
      <c r="W9" s="1669"/>
      <c r="X9" s="2240" t="s">
        <v>381</v>
      </c>
      <c r="Y9" s="2214"/>
      <c r="Z9" s="2305" t="s">
        <v>88</v>
      </c>
      <c r="AA9" s="2306"/>
      <c r="AB9" s="2240" t="s">
        <v>382</v>
      </c>
      <c r="AC9" s="1669"/>
      <c r="AD9" s="2240" t="s">
        <v>381</v>
      </c>
      <c r="AE9" s="2214"/>
      <c r="AF9" s="2305" t="s">
        <v>88</v>
      </c>
      <c r="AG9" s="2306"/>
      <c r="AH9" s="2214" t="s">
        <v>382</v>
      </c>
      <c r="AI9" s="2240"/>
      <c r="AJ9" s="1687"/>
      <c r="BM9" s="406">
        <v>22</v>
      </c>
    </row>
    <row customHeight="1" ht="24">
      <c r="D10" s="2288"/>
      <c r="E10" s="2288"/>
      <c r="F10" s="2312"/>
      <c r="G10" s="2312"/>
      <c r="H10" s="2313"/>
      <c r="I10" s="2314"/>
      <c r="J10" s="2305"/>
      <c r="K10" s="1672"/>
      <c r="L10" s="1691" t="s">
        <v>383</v>
      </c>
      <c r="M10" s="1686" t="s">
        <v>384</v>
      </c>
      <c r="N10" s="2307"/>
      <c r="O10" s="2308"/>
      <c r="P10" s="2288"/>
      <c r="Q10" s="1669"/>
      <c r="R10" s="1691" t="s">
        <v>383</v>
      </c>
      <c r="S10" s="1686" t="s">
        <v>384</v>
      </c>
      <c r="T10" s="2307"/>
      <c r="U10" s="2308"/>
      <c r="V10" s="2288"/>
      <c r="W10" s="1669"/>
      <c r="X10" s="1691" t="s">
        <v>383</v>
      </c>
      <c r="Y10" s="1686" t="s">
        <v>384</v>
      </c>
      <c r="Z10" s="2307"/>
      <c r="AA10" s="2308"/>
      <c r="AB10" s="2288"/>
      <c r="AC10" s="1669"/>
      <c r="AD10" s="1691" t="s">
        <v>383</v>
      </c>
      <c r="AE10" s="1686" t="s">
        <v>384</v>
      </c>
      <c r="AF10" s="2307"/>
      <c r="AG10" s="2308"/>
      <c r="AH10" s="2305"/>
      <c r="AI10" s="2288"/>
      <c r="AJ10" s="1687"/>
      <c r="AK10" s="367" t="s">
        <v>385</v>
      </c>
      <c r="AL10" s="367" t="s">
        <v>162</v>
      </c>
      <c r="BM10" s="406">
        <v>23</v>
      </c>
    </row>
    <row customHeight="1" ht="15">
      <c r="D11" s="2296" t="s">
        <v>136</v>
      </c>
      <c r="E11" s="2292" t="s">
        <v>386</v>
      </c>
      <c r="F11" s="2292" t="s">
        <v>387</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71"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103</v>
      </c>
      <c r="E17" s="2292" t="s">
        <v>386</v>
      </c>
      <c r="F17" s="2292" t="s">
        <v>388</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71"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386</v>
      </c>
      <c r="F23" s="2292" t="s">
        <v>389</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71"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386</v>
      </c>
      <c r="F29" s="2292" t="s">
        <v>390</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71"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116</v>
      </c>
      <c r="E35" s="2292" t="s">
        <v>386</v>
      </c>
      <c r="F35" s="2292" t="s">
        <v>391</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71"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C1BEE-1004-D201-7BFB-92AAAB76DA9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029" width="15.00390625" hidden="1" customWidth="1"/>
    <col min="2" max="2" style="5986" width="15.00390625" hidden="1" customWidth="1"/>
    <col min="3" max="3" style="6030" width="3.00390625" customWidth="1"/>
    <col min="4" max="4" style="6031" width="6.00390625" customWidth="1"/>
    <col min="5" max="5" style="6030" width="52.00390625" customWidth="1"/>
    <col min="6" max="6" style="6030" width="48.00390625" customWidth="1"/>
    <col min="7" max="7" style="6030" width="121.00390625" customWidth="1"/>
    <col min="8" max="8" style="6030" width="8.00390625" customWidth="1"/>
    <col min="9" max="9" style="6030" width="64.00390625" customWidth="1"/>
    <col min="10" max="10" style="6030" width="9.140625" hidden="1"/>
  </cols>
  <sheetData>
    <row customHeight="1" ht="11.25" hidden="1">
      <c r="A1" s="1799" t="s">
        <v>392</v>
      </c>
      <c r="J1" s="568" t="s">
        <v>14</v>
      </c>
    </row>
    <row customHeight="1" ht="11.25" hidden="1">
      <c r="J2" s="568">
        <v>0</v>
      </c>
    </row>
    <row s="5944" customFormat="1" customHeight="1" ht="11.549999999999999">
      <c r="A3" s="1799"/>
      <c r="B3" s="614"/>
      <c r="D3" s="591"/>
      <c r="J3" s="590">
        <v>11</v>
      </c>
    </row>
    <row customHeight="1" ht="27.299999999999997">
      <c r="D4" s="2270" t="str">
        <f>ORG_INFO_NAME_FORM</f>
        <v>Форма 1. Информация об организации, осуществляющей водоотведение (общая информация)</v>
      </c>
      <c r="E4" s="2271"/>
      <c r="F4" s="2272"/>
      <c r="I4" s="828"/>
      <c r="J4" s="568">
        <v>26</v>
      </c>
    </row>
    <row customHeight="1" ht="18">
      <c r="D5" s="2289" t="str">
        <f>IF(org=0,"Не определено",org)</f>
        <v>КГУП "Примтеплоэнерго"</v>
      </c>
      <c r="E5" s="2289"/>
      <c r="F5" s="2289"/>
      <c r="I5" s="828"/>
      <c r="J5" s="568">
        <v>17</v>
      </c>
    </row>
    <row s="5944"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393</v>
      </c>
      <c r="E8" s="2318"/>
      <c r="F8" s="2318"/>
      <c r="G8" s="2321" t="s">
        <v>394</v>
      </c>
      <c r="J8" s="568">
        <v>11</v>
      </c>
    </row>
    <row customHeight="1" ht="11.549999999999999">
      <c r="A9" s="570"/>
      <c r="B9" s="615"/>
      <c r="C9" s="570"/>
      <c r="D9" s="585" t="s">
        <v>88</v>
      </c>
      <c r="E9" s="559" t="s">
        <v>395</v>
      </c>
      <c r="F9" s="559" t="s">
        <v>396</v>
      </c>
      <c r="G9" s="2322"/>
      <c r="J9" s="568">
        <v>11</v>
      </c>
    </row>
    <row customHeight="1" ht="12" hidden="1">
      <c r="A10" s="570"/>
      <c r="B10" s="615"/>
      <c r="C10" s="570"/>
      <c r="D10" s="577"/>
      <c r="E10" s="577"/>
      <c r="F10" s="577"/>
      <c r="G10" s="577"/>
      <c r="J10" s="568">
        <v>0</v>
      </c>
    </row>
    <row customHeight="1" ht="22.5" hidden="1">
      <c r="A11" s="570"/>
      <c r="B11" s="615"/>
      <c r="C11" s="570"/>
      <c r="D11" s="1122" t="s">
        <v>136</v>
      </c>
      <c r="E11" s="1125" t="s">
        <v>397</v>
      </c>
      <c r="F11" s="1124" t="str">
        <f>IF(region_name="","",region_name)</f>
        <v>Приморский край</v>
      </c>
      <c r="G11" s="1125" t="s">
        <v>398</v>
      </c>
      <c r="H11" s="588"/>
      <c r="J11" s="568">
        <v>0</v>
      </c>
    </row>
    <row customHeight="1" ht="22.5" hidden="1">
      <c r="A12" s="570"/>
      <c r="B12" s="615"/>
      <c r="C12" s="570"/>
      <c r="D12" s="558" t="s">
        <v>136</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399</v>
      </c>
      <c r="G12" s="587"/>
      <c r="H12" s="588"/>
      <c r="J12" s="568">
        <v>0</v>
      </c>
    </row>
    <row customHeight="1" ht="23.25">
      <c r="A13" s="570"/>
      <c r="B13" s="615"/>
      <c r="C13" s="570"/>
      <c r="D13" s="558" t="s">
        <v>136</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400</v>
      </c>
      <c r="E14" s="1123" t="s">
        <v>401</v>
      </c>
      <c r="F14" s="1124" t="str">
        <f>IF(inn="","",inn)</f>
        <v>2536112729</v>
      </c>
      <c r="G14" s="1125" t="s">
        <v>402</v>
      </c>
      <c r="H14" s="588"/>
      <c r="J14" s="568">
        <v>0</v>
      </c>
    </row>
    <row customHeight="1" ht="22.5" hidden="1">
      <c r="A15" s="570"/>
      <c r="B15" s="615"/>
      <c r="C15" s="570"/>
      <c r="D15" s="1122" t="s">
        <v>403</v>
      </c>
      <c r="E15" s="1123" t="s">
        <v>404</v>
      </c>
      <c r="F15" s="1124" t="str">
        <f>IF(kpp="","",kpp)</f>
        <v>250202002</v>
      </c>
      <c r="G15" s="1125" t="s">
        <v>405</v>
      </c>
      <c r="H15" s="588"/>
      <c r="J15" s="568">
        <v>0</v>
      </c>
    </row>
    <row customHeight="1" ht="39">
      <c r="A16" s="570"/>
      <c r="B16" s="615"/>
      <c r="C16" s="570"/>
      <c r="D16" s="558" t="s">
        <v>103</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406</v>
      </c>
      <c r="B19" s="615"/>
      <c r="C19" s="2326"/>
      <c r="D19" s="558" t="str">
        <f>A19</f>
        <v>5.1</v>
      </c>
      <c r="E19" s="555" t="s">
        <v>407</v>
      </c>
      <c r="F19" s="556" t="s">
        <v>399</v>
      </c>
      <c r="G19" s="557" t="s">
        <v>408</v>
      </c>
      <c r="H19" s="588"/>
      <c r="I19" s="965"/>
      <c r="J19" s="568">
        <v>0</v>
      </c>
    </row>
    <row customHeight="1" ht="24" hidden="1">
      <c r="A20" s="2315"/>
      <c r="B20" s="615"/>
      <c r="C20" s="2326"/>
      <c r="D20" s="553" t="str">
        <f>D19&amp;".1"</f>
        <v>5.1.1</v>
      </c>
      <c r="E20" s="552" t="s">
        <v>409</v>
      </c>
      <c r="F20" s="994" t="s">
        <v>28</v>
      </c>
      <c r="G20" s="587"/>
      <c r="H20" s="588"/>
      <c r="I20" s="965"/>
      <c r="J20" s="568">
        <v>0</v>
      </c>
    </row>
    <row customHeight="1" ht="22.5" hidden="1">
      <c r="A21" s="2315"/>
      <c r="B21" s="615"/>
      <c r="C21" s="2326"/>
      <c r="D21" s="553" t="str">
        <f>D19&amp;".2"</f>
        <v>5.1.2</v>
      </c>
      <c r="E21" s="552" t="s">
        <v>410</v>
      </c>
      <c r="F21" s="1846" t="s">
        <v>28</v>
      </c>
      <c r="G21" s="557" t="s">
        <v>411</v>
      </c>
      <c r="H21" s="588"/>
      <c r="I21" s="965"/>
      <c r="J21" s="568">
        <v>0</v>
      </c>
    </row>
    <row customHeight="1" ht="22.5" hidden="1">
      <c r="A22" s="2315"/>
      <c r="B22" s="615"/>
      <c r="C22" s="2326"/>
      <c r="D22" s="553" t="str">
        <f>D19&amp;".3"</f>
        <v>5.1.3</v>
      </c>
      <c r="E22" s="552" t="s">
        <v>412</v>
      </c>
      <c r="F22" s="994" t="s">
        <v>28</v>
      </c>
      <c r="G22" s="587"/>
      <c r="H22" s="588"/>
      <c r="I22" s="965"/>
      <c r="J22" s="568">
        <v>0</v>
      </c>
    </row>
    <row customHeight="1" ht="22.5" hidden="1">
      <c r="A23" s="2315"/>
      <c r="B23" s="615"/>
      <c r="C23" s="2326"/>
      <c r="D23" s="553" t="str">
        <f>D19&amp;".4"</f>
        <v>5.1.4</v>
      </c>
      <c r="E23" s="552" t="s">
        <v>413</v>
      </c>
      <c r="F23" s="994" t="s">
        <v>28</v>
      </c>
      <c r="G23" s="557" t="s">
        <v>414</v>
      </c>
      <c r="H23" s="588"/>
      <c r="I23" s="965"/>
      <c r="J23" s="568">
        <v>0</v>
      </c>
    </row>
    <row customHeight="1" ht="22.5" hidden="1">
      <c r="A24" s="2091"/>
      <c r="B24" s="615"/>
      <c r="C24" s="605"/>
      <c r="D24" s="580"/>
      <c r="E24" s="1281" t="s">
        <v>415</v>
      </c>
      <c r="F24" s="581"/>
      <c r="G24" s="582"/>
      <c r="H24" s="588"/>
      <c r="I24" s="965"/>
      <c r="J24" s="568">
        <v>0</v>
      </c>
    </row>
    <row s="5986" customFormat="1" customHeight="1" ht="24.75" hidden="1">
      <c r="A25" s="570"/>
      <c r="B25" s="615"/>
      <c r="C25" s="615"/>
      <c r="D25" s="1119" t="s">
        <v>90</v>
      </c>
      <c r="E25" s="1121" t="s">
        <v>416</v>
      </c>
      <c r="F25" s="1126" t="s">
        <v>399</v>
      </c>
      <c r="G25" s="1121"/>
      <c r="J25" s="614">
        <v>0</v>
      </c>
    </row>
    <row s="5986" customFormat="1" customHeight="1" ht="11.25" hidden="1">
      <c r="A26" s="570"/>
      <c r="B26" s="615"/>
      <c r="C26" s="615"/>
      <c r="D26" s="1119" t="s">
        <v>417</v>
      </c>
      <c r="E26" s="1120" t="s">
        <v>418</v>
      </c>
      <c r="F26" s="1126" t="s">
        <v>399</v>
      </c>
      <c r="G26" s="1121"/>
      <c r="J26" s="614">
        <v>0</v>
      </c>
    </row>
    <row s="5986" customFormat="1" customHeight="1" ht="11.25" hidden="1">
      <c r="A27" s="570"/>
      <c r="B27" s="615"/>
      <c r="C27" s="615"/>
      <c r="D27" s="1119" t="s">
        <v>419</v>
      </c>
      <c r="E27" s="1127" t="s">
        <v>420</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614">
        <v>0</v>
      </c>
    </row>
    <row s="5986" customFormat="1" customHeight="1" ht="11.25" hidden="1">
      <c r="A28" s="570"/>
      <c r="B28" s="615"/>
      <c r="C28" s="615"/>
      <c r="D28" s="1119" t="s">
        <v>421</v>
      </c>
      <c r="E28" s="1127" t="s">
        <v>422</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614">
        <v>0</v>
      </c>
    </row>
    <row s="5986" customFormat="1" customHeight="1" ht="11.25" hidden="1">
      <c r="A29" s="570"/>
      <c r="B29" s="615"/>
      <c r="C29" s="615"/>
      <c r="D29" s="1119" t="s">
        <v>423</v>
      </c>
      <c r="E29" s="1127" t="s">
        <v>424</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614">
        <v>0</v>
      </c>
    </row>
    <row s="5986" customFormat="1" customHeight="1" ht="11.25" hidden="1">
      <c r="A30" s="570"/>
      <c r="B30" s="615"/>
      <c r="C30" s="615"/>
      <c r="D30" s="1119" t="s">
        <v>425</v>
      </c>
      <c r="E30" s="1120" t="s">
        <v>426</v>
      </c>
      <c r="F30" s="1128"/>
      <c r="G30" s="1121"/>
      <c r="J30" s="614">
        <v>0</v>
      </c>
    </row>
    <row s="5986" customFormat="1" customHeight="1" ht="11.25" hidden="1">
      <c r="A31" s="570"/>
      <c r="B31" s="615"/>
      <c r="C31" s="615"/>
      <c r="D31" s="1119" t="s">
        <v>427</v>
      </c>
      <c r="E31" s="1120" t="s">
        <v>428</v>
      </c>
      <c r="F31" s="1128"/>
      <c r="G31" s="1121"/>
      <c r="J31" s="614">
        <v>0</v>
      </c>
    </row>
    <row s="5986" customFormat="1" customHeight="1" ht="11.25" hidden="1">
      <c r="A32" s="570"/>
      <c r="B32" s="615"/>
      <c r="C32" s="615"/>
      <c r="D32" s="1119" t="s">
        <v>429</v>
      </c>
      <c r="E32" s="1120" t="s">
        <v>430</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399</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431</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431</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399</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432</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433</v>
      </c>
      <c r="H44" s="588"/>
      <c r="J44" s="568">
        <v>22</v>
      </c>
    </row>
    <row customHeight="1" ht="23.25">
      <c r="A45" s="570"/>
      <c r="B45" s="615"/>
      <c r="C45" s="570"/>
      <c r="D45" s="553">
        <f>D44+1</f>
        <v>11</v>
      </c>
      <c r="E45" s="551" t="s">
        <v>434</v>
      </c>
      <c r="F45" s="556" t="s">
        <v>399</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435</v>
      </c>
      <c r="H46" s="588"/>
      <c r="J46" s="568">
        <v>23</v>
      </c>
    </row>
    <row customHeight="1" ht="24">
      <c r="A47" s="2315"/>
      <c r="B47" s="615"/>
      <c r="C47" s="605"/>
      <c r="D47" s="553" t="str">
        <f>D45&amp;".2"</f>
        <v>11.2</v>
      </c>
      <c r="E47" s="555" t="s">
        <v>436</v>
      </c>
      <c r="F47" s="603"/>
      <c r="G47" s="550" t="s">
        <v>437</v>
      </c>
      <c r="H47" s="588"/>
      <c r="J47" s="568">
        <v>23</v>
      </c>
    </row>
    <row customHeight="1" ht="24">
      <c r="A48" s="2315"/>
      <c r="B48" s="615"/>
      <c r="C48" s="605"/>
      <c r="D48" s="553" t="str">
        <f>D45&amp;".3"</f>
        <v>11.3</v>
      </c>
      <c r="E48" s="555" t="s">
        <v>438</v>
      </c>
      <c r="F48" s="603"/>
      <c r="G48" s="550" t="s">
        <v>439</v>
      </c>
      <c r="H48" s="588"/>
      <c r="J48" s="568">
        <v>23</v>
      </c>
    </row>
    <row customHeight="1" ht="24">
      <c r="A49" s="2315"/>
      <c r="B49" s="615"/>
      <c r="C49" s="605"/>
      <c r="D49" s="553" t="str">
        <f>IF(TEMPLATE_SPHERE="TKO",D45&amp;".0",D45&amp;".4")</f>
        <v>11.4</v>
      </c>
      <c r="E49" s="549" t="s">
        <v>440</v>
      </c>
      <c r="F49" s="1798"/>
      <c r="G49" s="1875" t="s">
        <v>441</v>
      </c>
      <c r="H49" s="588"/>
      <c r="J49" s="568">
        <v>23</v>
      </c>
    </row>
    <row customHeight="1" ht="24">
      <c r="A50" s="570"/>
      <c r="B50" s="615"/>
      <c r="C50" s="570"/>
      <c r="D50" s="580"/>
      <c r="E50" s="528" t="s">
        <v>442</v>
      </c>
      <c r="F50" s="581"/>
      <c r="G50" s="1875" t="s">
        <v>443</v>
      </c>
      <c r="H50" s="589"/>
      <c r="J50" s="568">
        <v>23</v>
      </c>
    </row>
    <row customHeight="1" ht="24">
      <c r="A51" s="971"/>
      <c r="B51" s="615"/>
      <c r="C51" s="605"/>
      <c r="D51" s="553">
        <f>D45+1</f>
        <v>12</v>
      </c>
      <c r="E51" s="641" t="s">
        <v>444</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6015"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6015" customFormat="1" customHeight="1" ht="42">
      <c r="A54" s="570"/>
      <c r="B54" s="615"/>
      <c r="C54" s="2316"/>
      <c r="D54" s="231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F7F04-6141-CE93-E237-79D5909A583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51" width="9.140625" hidden="1" customWidth="1"/>
    <col min="2" max="2" style="5387" width="9.140625" hidden="1" customWidth="1"/>
    <col min="3" max="3" style="5566" width="3.00390625" customWidth="1"/>
    <col min="4" max="4" style="5387" width="5.00390625" customWidth="1"/>
    <col min="5" max="5" style="5387" width="48.00390625" customWidth="1"/>
    <col min="6" max="6" style="5387" width="38.00390625" customWidth="1"/>
    <col min="7" max="7" style="5387" width="1.7109375" hidden="1" customWidth="1"/>
    <col min="8" max="11" style="5387" width="19.8515625" hidden="1" customWidth="1"/>
    <col min="12" max="12" style="5387" width="9.7109375" hidden="1" customWidth="1"/>
    <col min="13" max="18" style="5387" width="19.8515625" hidden="1" customWidth="1"/>
    <col min="19" max="19" style="5387" width="1.7109375" hidden="1" customWidth="1"/>
    <col min="20" max="22" style="5387" width="19.8515625" customWidth="1"/>
    <col min="23" max="23" style="5387" width="1.7109375" hidden="1" customWidth="1"/>
    <col min="24" max="26" style="5387" width="19.8515625" hidden="1" customWidth="1"/>
    <col min="27" max="27" style="5387" width="1.7109375" hidden="1" customWidth="1"/>
    <col min="28" max="29" style="5387" width="19.8515625" hidden="1" customWidth="1"/>
    <col min="30" max="30" style="5387" width="1.7109375" hidden="1" customWidth="1"/>
    <col min="31" max="31" style="5387" width="103.7109375" hidden="1" customWidth="1"/>
    <col min="32" max="32" style="5387" width="103.7109375" customWidth="1"/>
    <col min="33" max="34" style="5387" width="103.7109375" hidden="1" customWidth="1"/>
    <col min="35" max="35" style="5483" width="3.00390625" customWidth="1"/>
    <col min="36" max="38" style="5468" width="10.00390625" customWidth="1"/>
    <col min="39" max="39" style="5468" width="13.7109375" hidden="1" customWidth="1"/>
    <col min="40" max="40" style="5468" width="15.00390625" customWidth="1"/>
    <col min="41" max="41" style="5468" width="16.00390625" customWidth="1"/>
    <col min="42" max="45" style="5468" width="10.00390625" customWidth="1"/>
    <col min="46" max="46" style="5387" width="10.57421875" hidden="1"/>
  </cols>
  <sheetData>
    <row customHeight="1" ht="22.5" hidden="1">
      <c r="E1" s="525"/>
      <c r="F1" s="525"/>
      <c r="G1" s="525"/>
      <c r="H1" s="2330" t="s">
        <v>445</v>
      </c>
      <c r="I1" s="2330"/>
      <c r="J1" s="2330"/>
      <c r="K1" s="2330"/>
      <c r="L1" s="2330"/>
      <c r="M1" s="2330"/>
      <c r="N1" s="2330"/>
      <c r="O1" s="2330"/>
      <c r="P1" s="2330"/>
      <c r="Q1" s="2330"/>
      <c r="R1" s="2330"/>
      <c r="T1" s="2330" t="s">
        <v>446</v>
      </c>
      <c r="U1" s="2330"/>
      <c r="V1" s="2330"/>
      <c r="X1" s="2330" t="s">
        <v>447</v>
      </c>
      <c r="Y1" s="2330"/>
      <c r="Z1" s="2330"/>
      <c r="AB1" s="2330" t="s">
        <v>448</v>
      </c>
      <c r="AC1" s="2330"/>
      <c r="AT1" s="560" t="s">
        <v>14</v>
      </c>
    </row>
    <row customHeight="1" ht="14.25" hidden="1">
      <c r="AT2" s="560">
        <v>0</v>
      </c>
    </row>
    <row s="6033" customFormat="1" customHeight="1" ht="5.25">
      <c r="C3" s="814"/>
      <c r="D3" s="815"/>
      <c r="E3" s="815"/>
      <c r="F3" s="815"/>
      <c r="G3" s="815"/>
      <c r="H3" s="815" t="s">
        <v>449</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водоотведение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7" customFormat="1" customHeight="1" ht="18">
      <c r="A5" s="872"/>
      <c r="C5" s="935"/>
      <c r="D5" s="2327" t="str">
        <f>IF(org=0,"Не определено",org)</f>
        <v>КГУП "Примтеплоэнерго"</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62"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393</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394</v>
      </c>
      <c r="AF7" s="2336" t="s">
        <v>394</v>
      </c>
      <c r="AG7" s="2336" t="s">
        <v>394</v>
      </c>
      <c r="AH7" s="2336" t="s">
        <v>394</v>
      </c>
      <c r="AT7" s="560">
        <v>14</v>
      </c>
    </row>
    <row customHeight="1" ht="27.299999999999997">
      <c r="C8" s="563"/>
      <c r="D8" s="2240" t="s">
        <v>88</v>
      </c>
      <c r="E8" s="2336" t="str">
        <f>"Наименование "&amp;IF(TEMPLATE_SPHERE&lt;&gt;"HEAT","централизованной ","")&amp;"системы "&amp;TEMPLATE_SPHERE_RUS</f>
        <v>Наименование централизованной системы водоотведения</v>
      </c>
      <c r="F8" s="2336" t="str">
        <f>IF(TEMPLATE_SPHERE&lt;&gt;"HEAT","Регулируемый вид деятельности","Вид регулируемой деятельности")</f>
        <v>Регулируемый вид деятельности</v>
      </c>
      <c r="G8" s="941"/>
      <c r="H8" s="2337" t="s">
        <v>450</v>
      </c>
      <c r="I8" s="2339" t="s">
        <v>451</v>
      </c>
      <c r="J8" s="2336" t="s">
        <v>452</v>
      </c>
      <c r="K8" s="2336"/>
      <c r="L8" s="2336"/>
      <c r="M8" s="2331"/>
      <c r="N8" s="2336" t="s">
        <v>453</v>
      </c>
      <c r="O8" s="2336"/>
      <c r="P8" s="2336" t="s">
        <v>454</v>
      </c>
      <c r="Q8" s="2336"/>
      <c r="R8" s="2343" t="s">
        <v>455</v>
      </c>
      <c r="S8" s="937"/>
      <c r="T8" s="2341" t="s">
        <v>456</v>
      </c>
      <c r="U8" s="2341" t="s">
        <v>457</v>
      </c>
      <c r="V8" s="2341" t="s">
        <v>458</v>
      </c>
      <c r="W8" s="939"/>
      <c r="X8" s="2341" t="s">
        <v>459</v>
      </c>
      <c r="Y8" s="2341" t="s">
        <v>460</v>
      </c>
      <c r="Z8" s="2341" t="s">
        <v>461</v>
      </c>
      <c r="AA8" s="939"/>
      <c r="AB8" s="2341" t="s">
        <v>462</v>
      </c>
      <c r="AC8" s="2341" t="s">
        <v>455</v>
      </c>
      <c r="AD8" s="939"/>
      <c r="AE8" s="2336"/>
      <c r="AF8" s="2336"/>
      <c r="AG8" s="2336"/>
      <c r="AH8" s="2336"/>
      <c r="AT8" s="560">
        <v>26</v>
      </c>
    </row>
    <row customHeight="1" ht="46.199999999999996">
      <c r="C9" s="563"/>
      <c r="D9" s="2240"/>
      <c r="E9" s="2336"/>
      <c r="F9" s="2336"/>
      <c r="G9" s="942"/>
      <c r="H9" s="2338"/>
      <c r="I9" s="2340"/>
      <c r="J9" s="538" t="s">
        <v>463</v>
      </c>
      <c r="K9" s="538" t="s">
        <v>464</v>
      </c>
      <c r="L9" s="538" t="s">
        <v>465</v>
      </c>
      <c r="M9" s="544" t="s">
        <v>466</v>
      </c>
      <c r="N9" s="538" t="s">
        <v>467</v>
      </c>
      <c r="O9" s="538" t="s">
        <v>466</v>
      </c>
      <c r="P9" s="538" t="s">
        <v>468</v>
      </c>
      <c r="Q9" s="538" t="s">
        <v>466</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74" customFormat="1" customHeight="1" ht="11.25" hidden="1">
      <c r="C11" s="611"/>
      <c r="D11" s="612" t="s">
        <v>469</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136</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470</v>
      </c>
      <c r="AF12" s="2334" t="s">
        <v>471</v>
      </c>
      <c r="AG12" s="2334" t="s">
        <v>472</v>
      </c>
      <c r="AH12" s="2334" t="s">
        <v>473</v>
      </c>
      <c r="AI12" s="560"/>
      <c r="AM12" s="624"/>
      <c r="AP12" s="613" t="s">
        <v>474</v>
      </c>
      <c r="AQ12" s="613" t="s">
        <v>474</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26D6A-D765-216D-0A6E-15F55831567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51" width="9.140625" hidden="1" customWidth="1"/>
    <col min="2" max="2" style="5387" width="9.140625" hidden="1" customWidth="1"/>
    <col min="3" max="3" style="5566" width="3.00390625" customWidth="1"/>
    <col min="4" max="4" style="5387" width="5.00390625" customWidth="1"/>
    <col min="5" max="5" style="5387" width="38.00390625" customWidth="1"/>
    <col min="6" max="7" style="5387" width="3.00390625" customWidth="1"/>
    <col min="8" max="8" style="5387" width="38.00390625" customWidth="1"/>
    <col min="9" max="9" style="5387" width="35.00390625" customWidth="1"/>
    <col min="10" max="10" style="5387" width="103.00390625" customWidth="1"/>
    <col min="11" max="11" style="5483" width="3.00390625" customWidth="1"/>
    <col min="12" max="14" style="5468" width="10.00390625" customWidth="1"/>
    <col min="15" max="15" style="5468" width="13.00390625" customWidth="1"/>
    <col min="16" max="16" style="5468" width="15.00390625" customWidth="1"/>
    <col min="17" max="17" style="5468" width="16.00390625" customWidth="1"/>
    <col min="18" max="21" style="5468" width="10.00390625" customWidth="1"/>
    <col min="22" max="22" style="5387" width="10.57421875" hidden="1"/>
  </cols>
  <sheetData>
    <row customHeight="1" ht="22.5" hidden="1">
      <c r="E1" s="525"/>
      <c r="F1" s="525"/>
      <c r="G1" s="525"/>
      <c r="H1" s="2330" t="s">
        <v>445</v>
      </c>
      <c r="I1" s="2330"/>
      <c r="V1" s="1720" t="s">
        <v>14</v>
      </c>
    </row>
    <row s="5387" customFormat="1" customHeight="1" ht="14.25" hidden="1">
      <c r="C2" s="1732"/>
      <c r="D2" s="2346" t="s">
        <v>136</v>
      </c>
      <c r="E2" s="2348"/>
      <c r="F2" s="1738"/>
      <c r="G2" s="1733" t="s">
        <v>136</v>
      </c>
      <c r="H2" s="1736"/>
      <c r="I2" s="1734"/>
      <c r="L2" s="1735"/>
      <c r="M2" s="1735"/>
      <c r="N2" s="1735"/>
      <c r="O2" s="1735" t="s">
        <v>475</v>
      </c>
      <c r="P2" s="1735"/>
      <c r="Q2" s="1735"/>
      <c r="R2" s="1737" t="s">
        <v>474</v>
      </c>
      <c r="S2" s="1737" t="s">
        <v>474</v>
      </c>
      <c r="T2" s="1735"/>
      <c r="U2" s="1735"/>
      <c r="V2" s="1731">
        <v>0</v>
      </c>
    </row>
    <row s="5387" customFormat="1" customHeight="1" ht="14.25" hidden="1">
      <c r="C3" s="1732"/>
      <c r="D3" s="2347"/>
      <c r="E3" s="2349"/>
      <c r="F3" s="518"/>
      <c r="G3" s="982"/>
      <c r="H3" s="982" t="s">
        <v>476</v>
      </c>
      <c r="I3" s="426"/>
      <c r="L3" s="1735"/>
      <c r="M3" s="1735"/>
      <c r="N3" s="1735"/>
      <c r="O3" s="1735"/>
      <c r="P3" s="1735"/>
      <c r="Q3" s="1735"/>
      <c r="R3" s="1737"/>
      <c r="S3" s="1737"/>
      <c r="T3" s="1735"/>
      <c r="U3" s="1735"/>
      <c r="V3" s="1731">
        <v>0</v>
      </c>
    </row>
    <row customHeight="1" ht="14.25" hidden="1">
      <c r="V4" s="1720">
        <v>0</v>
      </c>
    </row>
    <row s="6033" customFormat="1" customHeight="1" ht="5.25">
      <c r="C5" s="814"/>
      <c r="D5" s="815"/>
      <c r="E5" s="815"/>
      <c r="F5" s="815"/>
      <c r="G5" s="815"/>
      <c r="H5" s="815" t="s">
        <v>449</v>
      </c>
      <c r="I5" s="815"/>
      <c r="J5" s="815"/>
      <c r="L5" s="1727"/>
      <c r="M5" s="1727"/>
      <c r="N5" s="1727"/>
      <c r="O5" s="1727"/>
      <c r="P5" s="1727"/>
      <c r="Q5" s="1727"/>
      <c r="R5" s="1727"/>
      <c r="S5" s="1727"/>
      <c r="T5" s="1727"/>
      <c r="U5" s="1727"/>
      <c r="V5" s="1726">
        <v>5</v>
      </c>
    </row>
    <row customHeight="1" ht="29.25">
      <c r="C6" s="1629"/>
      <c r="D6" s="2350" t="s">
        <v>477</v>
      </c>
      <c r="E6" s="2350"/>
      <c r="F6" s="2350"/>
      <c r="G6" s="2350"/>
      <c r="H6" s="2350"/>
      <c r="I6" s="2350"/>
      <c r="J6" s="604"/>
      <c r="K6" s="1728"/>
      <c r="V6" s="1720">
        <v>28</v>
      </c>
    </row>
    <row customHeight="1" ht="18">
      <c r="C7" s="1629"/>
      <c r="D7" s="2289" t="str">
        <f>IF(org=0,"Не определено",org)</f>
        <v>КГУП "Примтеплоэнерго"</v>
      </c>
      <c r="E7" s="2289"/>
      <c r="F7" s="2289"/>
      <c r="G7" s="2289"/>
      <c r="H7" s="2289"/>
      <c r="I7" s="2289"/>
      <c r="J7" s="604"/>
      <c r="K7" s="1728"/>
      <c r="V7" s="1720">
        <v>17</v>
      </c>
    </row>
    <row s="5362"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62"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393</v>
      </c>
      <c r="E10" s="2332"/>
      <c r="F10" s="2332"/>
      <c r="G10" s="2332"/>
      <c r="H10" s="2332"/>
      <c r="I10" s="2332"/>
      <c r="J10" s="2336" t="s">
        <v>394</v>
      </c>
      <c r="V10" s="1720">
        <v>14</v>
      </c>
    </row>
    <row customHeight="1" ht="27.299999999999997">
      <c r="C11" s="1629"/>
      <c r="D11" s="2240" t="s">
        <v>88</v>
      </c>
      <c r="E11" s="2336" t="s">
        <v>141</v>
      </c>
      <c r="F11" s="2305" t="s">
        <v>88</v>
      </c>
      <c r="G11" s="2306"/>
      <c r="H11" s="2288" t="s">
        <v>478</v>
      </c>
      <c r="I11" s="2288" t="s">
        <v>479</v>
      </c>
      <c r="J11" s="2336"/>
      <c r="V11" s="1720">
        <v>26</v>
      </c>
    </row>
    <row customHeight="1" ht="14.699999999999998">
      <c r="C12" s="1629"/>
      <c r="D12" s="2240"/>
      <c r="E12" s="2336"/>
      <c r="F12" s="2313"/>
      <c r="G12" s="2314"/>
      <c r="H12" s="2345"/>
      <c r="I12" s="2345"/>
      <c r="J12" s="2336"/>
      <c r="V12" s="1720">
        <v>14</v>
      </c>
    </row>
    <row s="6074" customFormat="1" customHeight="1" ht="11.25" hidden="1">
      <c r="C13" s="611"/>
      <c r="D13" s="612" t="s">
        <v>469</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136</v>
      </c>
      <c r="E14" s="2348"/>
      <c r="F14" s="1730"/>
      <c r="G14" s="1729" t="s">
        <v>136</v>
      </c>
      <c r="H14" s="1736"/>
      <c r="I14" s="1734"/>
      <c r="J14" s="2282" t="s">
        <v>480</v>
      </c>
      <c r="K14" s="1720"/>
      <c r="R14" s="613" t="s">
        <v>474</v>
      </c>
      <c r="S14" s="613" t="s">
        <v>474</v>
      </c>
      <c r="V14" s="1720">
        <v>14</v>
      </c>
    </row>
    <row customHeight="1" ht="14.699999999999998">
      <c r="A15" s="1720"/>
      <c r="C15" s="1629"/>
      <c r="D15" s="2347"/>
      <c r="E15" s="2349"/>
      <c r="F15" s="518"/>
      <c r="G15" s="982"/>
      <c r="H15" s="982" t="s">
        <v>476</v>
      </c>
      <c r="I15" s="426"/>
      <c r="J15" s="2283"/>
      <c r="K15" s="1720"/>
      <c r="R15" s="613"/>
      <c r="S15" s="613"/>
      <c r="V15" s="1720">
        <v>14</v>
      </c>
    </row>
    <row customHeight="1" ht="14.699999999999998">
      <c r="A16" s="1720"/>
      <c r="C16" s="1629"/>
      <c r="D16" s="518"/>
      <c r="E16" s="982" t="s">
        <v>153</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ECFB1-593B-F864-39D9-845A0A2BF33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51" width="9.140625" hidden="1" customWidth="1"/>
    <col min="2" max="3" style="5387" width="9.140625" hidden="1" customWidth="1"/>
    <col min="4" max="4" style="5566" width="3.00390625" customWidth="1"/>
    <col min="5" max="5" style="5387" width="6.00390625" customWidth="1"/>
    <col min="6" max="6" style="5387" width="1.7109375" hidden="1" customWidth="1"/>
    <col min="7" max="8" style="5387" width="30.00390625" customWidth="1"/>
    <col min="9" max="9" style="5387" width="8.00390625" customWidth="1"/>
    <col min="10" max="10" style="5387" width="12.140625" customWidth="1"/>
    <col min="11" max="11" style="5387" width="46.00390625" customWidth="1"/>
    <col min="12" max="12" style="5387" width="100.00390625" customWidth="1"/>
    <col min="13" max="13" style="5483" width="7.00390625" customWidth="1"/>
    <col min="14" max="22" style="5387" width="10.00390625" customWidth="1"/>
    <col min="23" max="23" style="5387" width="10.57421875" hidden="1"/>
  </cols>
  <sheetData>
    <row s="5468" customFormat="1" customHeight="1" ht="5.25" hidden="1">
      <c r="C1" s="624"/>
      <c r="D1" s="607"/>
      <c r="F1" s="624"/>
      <c r="G1" s="602" t="s">
        <v>83</v>
      </c>
      <c r="H1" s="602" t="s">
        <v>84</v>
      </c>
      <c r="I1" s="602" t="s">
        <v>85</v>
      </c>
      <c r="P1" s="602" t="s">
        <v>83</v>
      </c>
      <c r="Q1" s="602" t="s">
        <v>84</v>
      </c>
      <c r="R1" s="602" t="s">
        <v>85</v>
      </c>
      <c r="W1" s="602" t="s">
        <v>14</v>
      </c>
    </row>
    <row s="5468" customFormat="1" customHeight="1" ht="5.25" hidden="1">
      <c r="C2" s="624"/>
      <c r="D2" s="607"/>
      <c r="F2" s="624"/>
      <c r="W2" s="602">
        <v>0</v>
      </c>
    </row>
    <row s="5362" customFormat="1" customHeight="1" ht="5.25">
      <c r="A3" s="592"/>
      <c r="D3" s="599"/>
      <c r="E3" s="594"/>
      <c r="F3" s="594"/>
      <c r="G3" s="594"/>
      <c r="H3" s="594"/>
      <c r="I3" s="595"/>
      <c r="J3" s="596"/>
      <c r="K3" s="596"/>
      <c r="L3" s="596"/>
      <c r="W3" s="593">
        <v>5</v>
      </c>
    </row>
    <row customHeight="1" ht="23.25">
      <c r="D4" s="563"/>
      <c r="E4" s="2351" t="s">
        <v>481</v>
      </c>
      <c r="F4" s="2351"/>
      <c r="G4" s="2352"/>
      <c r="H4" s="2352"/>
      <c r="I4" s="2353"/>
      <c r="J4" s="604"/>
      <c r="K4" s="566"/>
      <c r="L4" s="566"/>
      <c r="W4" s="560">
        <v>22</v>
      </c>
    </row>
    <row s="5387" customFormat="1" customHeight="1" ht="18">
      <c r="A5" s="872"/>
      <c r="D5" s="935"/>
      <c r="E5" s="2327" t="str">
        <f>IF(org=0,"Не определено",org)</f>
        <v>КГУП "Примтеплоэнерго"</v>
      </c>
      <c r="F5" s="2327"/>
      <c r="G5" s="2328"/>
      <c r="H5" s="2328"/>
      <c r="I5" s="2329"/>
      <c r="J5" s="604"/>
      <c r="K5" s="566"/>
      <c r="L5" s="566"/>
      <c r="M5" s="620"/>
      <c r="W5" s="871">
        <v>17</v>
      </c>
    </row>
    <row s="5362" customFormat="1" customHeight="1" ht="11.549999999999999">
      <c r="A6" s="592"/>
      <c r="D6" s="599"/>
      <c r="E6" s="594"/>
      <c r="F6" s="594"/>
      <c r="G6" s="597"/>
      <c r="H6" s="597"/>
      <c r="I6" s="598"/>
      <c r="J6" s="598"/>
      <c r="K6" s="865"/>
      <c r="L6" s="598"/>
      <c r="W6" s="593">
        <v>11</v>
      </c>
    </row>
    <row customHeight="1" ht="14.699999999999998">
      <c r="D7" s="563"/>
      <c r="E7" s="2321" t="s">
        <v>393</v>
      </c>
      <c r="F7" s="2321"/>
      <c r="G7" s="2322"/>
      <c r="H7" s="2322"/>
      <c r="I7" s="2322"/>
      <c r="J7" s="2322"/>
      <c r="K7" s="2322"/>
      <c r="L7" s="2336" t="s">
        <v>394</v>
      </c>
      <c r="W7" s="560">
        <v>14</v>
      </c>
    </row>
    <row customHeight="1" ht="48.29999999999999">
      <c r="D8" s="563"/>
      <c r="E8" s="586" t="s">
        <v>88</v>
      </c>
      <c r="F8" s="936"/>
      <c r="G8" s="578" t="s">
        <v>86</v>
      </c>
      <c r="H8" s="578" t="s">
        <v>87</v>
      </c>
      <c r="I8" s="527" t="s">
        <v>85</v>
      </c>
      <c r="J8" s="527" t="s">
        <v>482</v>
      </c>
      <c r="K8" s="527" t="s">
        <v>483</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484</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62" customFormat="1" customHeight="1" ht="15">
      <c r="A12" s="2212"/>
      <c r="B12" s="617"/>
      <c r="C12" s="617"/>
      <c r="D12" s="979"/>
      <c r="E12" s="936">
        <v>1</v>
      </c>
      <c r="F12" s="977">
        <v>23</v>
      </c>
      <c r="G12" s="976"/>
      <c r="H12" s="906"/>
      <c r="I12" s="904"/>
      <c r="J12" s="633" t="s">
        <v>66</v>
      </c>
      <c r="K12" s="1277" t="s">
        <v>28</v>
      </c>
      <c r="L12" s="2354"/>
      <c r="M12" s="624"/>
      <c r="N12" s="624"/>
      <c r="O12" s="624"/>
      <c r="P12" s="629" t="s">
        <v>485</v>
      </c>
      <c r="Q12" s="629" t="s">
        <v>486</v>
      </c>
      <c r="R12" s="630" t="s">
        <v>487</v>
      </c>
      <c r="S12" s="624" t="s">
        <v>488</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AEADA-4A72-9F6B-8395-F097B5D8468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7" width="10.57421875" hidden="1"/>
    <col min="2" max="2" style="5467" width="11.00390625" hidden="1" customWidth="1"/>
    <col min="3" max="3" style="5467" width="10.57421875" hidden="1"/>
    <col min="4" max="4" style="5467" width="11.8515625" hidden="1" customWidth="1"/>
    <col min="5" max="5" style="5467" width="10.00390625" hidden="1" customWidth="1"/>
    <col min="6" max="6" style="5467" width="8.7109375" hidden="1" customWidth="1"/>
    <col min="7" max="7" style="5467" width="7.57421875" hidden="1" customWidth="1"/>
    <col min="8" max="8" style="5467" width="11.421875" hidden="1" customWidth="1"/>
    <col min="9" max="9" style="5467" width="12.00390625" hidden="1" customWidth="1"/>
    <col min="10" max="10" style="5467" width="9.8515625" hidden="1" customWidth="1"/>
    <col min="11" max="11" style="5467" width="11.421875" hidden="1" customWidth="1"/>
    <col min="12" max="12" style="6316" width="19.140625" hidden="1" customWidth="1"/>
    <col min="13" max="14" style="6317" width="12.28125" hidden="1" customWidth="1"/>
    <col min="15" max="15" style="6317" width="23.421875" hidden="1" customWidth="1"/>
    <col min="16" max="16" style="6318" width="3.00390625" customWidth="1"/>
    <col min="17" max="18" style="6319" width="3.00390625" customWidth="1"/>
    <col min="19" max="19" style="6320" width="12.00390625" customWidth="1"/>
    <col min="20" max="20" style="5387" width="35.00390625" customWidth="1"/>
    <col min="21" max="21" style="5387" width="0.140625" customWidth="1"/>
    <col min="22" max="22" style="5387" width="24.7109375" hidden="1" customWidth="1"/>
    <col min="23" max="23" style="5387" width="0.140625" hidden="1" customWidth="1"/>
    <col min="24" max="25" style="5387" width="24.7109375" hidden="1" customWidth="1"/>
    <col min="26" max="26" style="5387" width="11.7109375" hidden="1" customWidth="1"/>
    <col min="27" max="27" style="5387" width="3.7109375" hidden="1" customWidth="1"/>
    <col min="28" max="28" style="5387" width="11.7109375" hidden="1" customWidth="1"/>
    <col min="29" max="29" style="5387" width="8.57421875" hidden="1" customWidth="1"/>
    <col min="30" max="30" style="5387" width="24.7109375" customWidth="1"/>
    <col min="31" max="31" style="5387" width="0.140625" customWidth="1"/>
    <col min="32" max="33" style="5387" width="24.00390625" customWidth="1"/>
    <col min="34" max="34" style="5387" width="11.00390625" customWidth="1"/>
    <col min="35" max="35" style="5387" width="3.7109375" customWidth="1"/>
    <col min="36" max="36" style="5387" width="11.00390625" customWidth="1"/>
    <col min="37" max="37" style="5387" width="8.57421875" hidden="1" customWidth="1"/>
    <col min="38" max="38" style="5387" width="4.00390625" customWidth="1"/>
    <col min="39" max="39" style="5387" width="115.00390625" customWidth="1"/>
    <col min="40" max="44" style="5468" width="10.00390625" customWidth="1"/>
    <col min="45" max="45" style="538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155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489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490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491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492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493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494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495</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496</v>
      </c>
      <c r="M6" s="650"/>
      <c r="P6" s="2370">
        <v>1</v>
      </c>
      <c r="Q6" s="1418"/>
      <c r="R6" s="469"/>
      <c r="S6" s="1422">
        <f>$I6</f>
      </c>
      <c r="T6" s="398" t="s">
        <v>497</v>
      </c>
      <c r="U6" s="413"/>
      <c r="V6" s="2358"/>
      <c r="W6" s="2359"/>
      <c r="X6" s="2359"/>
      <c r="Y6" s="2359"/>
      <c r="Z6" s="2359"/>
      <c r="AA6" s="2359"/>
      <c r="AB6" s="2359"/>
      <c r="AC6" s="2360"/>
      <c r="AD6" s="2358"/>
      <c r="AE6" s="2359"/>
      <c r="AF6" s="2359"/>
      <c r="AG6" s="2359"/>
      <c r="AH6" s="2359"/>
      <c r="AI6" s="2359"/>
      <c r="AJ6" s="2359"/>
      <c r="AK6" s="2359"/>
      <c r="AL6" s="2360"/>
      <c r="AM6" s="1371" t="s">
        <v>498</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499</v>
      </c>
      <c r="M7" s="650"/>
      <c r="N7" s="1479"/>
      <c r="P7" s="2370"/>
      <c r="Q7" s="2370">
        <v>1</v>
      </c>
      <c r="R7" s="470"/>
      <c r="S7" s="1422">
        <f>$J7</f>
      </c>
      <c r="T7" s="399" t="s">
        <v>500</v>
      </c>
      <c r="U7" s="413"/>
      <c r="V7" s="2358"/>
      <c r="W7" s="2359"/>
      <c r="X7" s="2359"/>
      <c r="Y7" s="2359"/>
      <c r="Z7" s="2359"/>
      <c r="AA7" s="2359"/>
      <c r="AB7" s="2359"/>
      <c r="AC7" s="2360"/>
      <c r="AD7" s="2358"/>
      <c r="AE7" s="2359"/>
      <c r="AF7" s="2359"/>
      <c r="AG7" s="2359"/>
      <c r="AH7" s="2359"/>
      <c r="AI7" s="2359"/>
      <c r="AJ7" s="2359"/>
      <c r="AK7" s="2359"/>
      <c r="AL7" s="2360"/>
      <c r="AM7" s="1371" t="s">
        <v>501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502</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503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504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505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506</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507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312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360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67" customFormat="1" customHeight="1" ht="22.5" hidden="1">
      <c r="L20" s="1442"/>
      <c r="M20" s="1475"/>
      <c r="N20" s="1475"/>
      <c r="O20" s="1480" t="s">
        <v>508</v>
      </c>
      <c r="P20" s="1475"/>
      <c r="Q20" s="1484"/>
      <c r="R20" s="1484"/>
      <c r="S20" s="842"/>
      <c r="Z20" s="1480"/>
      <c r="AB20" s="1480"/>
      <c r="AC20" s="1479"/>
      <c r="AH20" s="1480"/>
      <c r="AJ20" s="1480"/>
      <c r="AK20" s="1479"/>
      <c r="AN20" s="624"/>
      <c r="AO20" s="624"/>
      <c r="AP20" s="624"/>
      <c r="AQ20" s="624"/>
      <c r="AR20" s="624"/>
      <c r="AS20" s="1273">
        <v>0</v>
      </c>
    </row>
    <row s="5467" customFormat="1" customHeight="1" ht="14.25" hidden="1">
      <c r="L21" s="1442"/>
      <c r="M21" s="1475"/>
      <c r="N21" s="1475"/>
      <c r="O21" s="1475"/>
      <c r="P21" s="1475"/>
      <c r="Q21" s="1484"/>
      <c r="R21" s="1484"/>
      <c r="S21" s="842"/>
      <c r="AC21" s="1479"/>
      <c r="AK21" s="1479"/>
      <c r="AN21" s="624"/>
      <c r="AO21" s="624"/>
      <c r="AP21" s="624"/>
      <c r="AQ21" s="624"/>
      <c r="AR21" s="624"/>
      <c r="AS21" s="1273">
        <v>0</v>
      </c>
    </row>
    <row s="5467" customFormat="1" customHeight="1" ht="14.25" hidden="1">
      <c r="L22" s="1442"/>
      <c r="M22" s="1475"/>
      <c r="N22" s="1475"/>
      <c r="O22" s="1477" t="s">
        <v>509</v>
      </c>
      <c r="P22" s="1475"/>
      <c r="Q22" s="1484"/>
      <c r="R22" s="1484"/>
      <c r="S22" s="842"/>
      <c r="T22" s="1273" t="s">
        <v>510</v>
      </c>
      <c r="AA22" s="299" t="s">
        <v>511</v>
      </c>
      <c r="AC22" s="299" t="s">
        <v>512</v>
      </c>
      <c r="AD22" s="1273" t="s">
        <v>510</v>
      </c>
      <c r="AI22" s="299" t="s">
        <v>513</v>
      </c>
      <c r="AK22" s="299" t="s">
        <v>512</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0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04" customFormat="1" customHeight="1" ht="18.75" hidden="1">
      <c r="A30" s="1481"/>
      <c r="B30" s="1481"/>
      <c r="C30" s="1481"/>
      <c r="D30" s="1481"/>
      <c r="E30" s="1481"/>
      <c r="F30" s="1481"/>
      <c r="G30" s="1481"/>
      <c r="H30" s="1481"/>
      <c r="I30" s="1481"/>
      <c r="J30" s="1481"/>
      <c r="K30" s="1481"/>
      <c r="L30" s="1482"/>
      <c r="M30" s="1481"/>
      <c r="N30" s="1481"/>
      <c r="O30" s="1481"/>
      <c r="S30" s="2363" t="s">
        <v>514</v>
      </c>
      <c r="T30" s="2363"/>
      <c r="U30" s="1485"/>
      <c r="V30" s="2377" t="str">
        <f>IF(TITLE_DATE_PR_CHANGE="",IF(TITLE_DATE_PR="","",TITLE_DATE_PR),TITLE_DATE_PR_CHANGE)</f>
        <v>45408.605891203704</v>
      </c>
      <c r="W30" s="2377"/>
      <c r="X30" s="2377"/>
      <c r="Y30" s="2377"/>
      <c r="Z30" s="2377"/>
      <c r="AA30" s="2377"/>
      <c r="AB30" s="2377"/>
      <c r="AC30" s="439"/>
      <c r="AD30" s="2377" t="str">
        <f>IF(TITLE_DATE_PR_CHANGE="",IF(TITLE_DATE_PR="","",TITLE_DATE_PR),TITLE_DATE_PR_CHANGE)</f>
        <v>45408.605891203704</v>
      </c>
      <c r="AE30" s="2377"/>
      <c r="AF30" s="2377"/>
      <c r="AG30" s="2377"/>
      <c r="AH30" s="2377"/>
      <c r="AI30" s="2377"/>
      <c r="AJ30" s="2377"/>
      <c r="AK30" s="439"/>
      <c r="AL30" s="439"/>
      <c r="AM30" s="393"/>
      <c r="AN30" s="481"/>
      <c r="AO30" s="481"/>
      <c r="AP30" s="481"/>
      <c r="AQ30" s="481"/>
      <c r="AR30" s="481"/>
      <c r="AS30" s="531">
        <v>0</v>
      </c>
    </row>
    <row s="5604" customFormat="1" customHeight="1" ht="18.75" hidden="1">
      <c r="A31" s="1481"/>
      <c r="B31" s="1481"/>
      <c r="C31" s="1481"/>
      <c r="D31" s="1481"/>
      <c r="E31" s="1481"/>
      <c r="F31" s="1481"/>
      <c r="G31" s="1481"/>
      <c r="H31" s="1481"/>
      <c r="I31" s="1481"/>
      <c r="J31" s="1481"/>
      <c r="K31" s="1481"/>
      <c r="L31" s="1482"/>
      <c r="M31" s="1481"/>
      <c r="N31" s="1481"/>
      <c r="O31" s="1481"/>
      <c r="S31" s="2363" t="s">
        <v>515</v>
      </c>
      <c r="T31" s="2363"/>
      <c r="U31" s="1485"/>
      <c r="V31" s="2364" t="str">
        <f>IF(TITLE_NUMBER_PR_CHANGE="",IF(TITLE_NUMBER_PR="","",TITLE_NUMBER_PR),TITLE_NUMBER_PR_CHANGE)</f>
        <v>27-2139</v>
      </c>
      <c r="W31" s="2364"/>
      <c r="X31" s="2364"/>
      <c r="Y31" s="2364"/>
      <c r="Z31" s="2364"/>
      <c r="AA31" s="2364"/>
      <c r="AB31" s="2364"/>
      <c r="AC31" s="439"/>
      <c r="AD31" s="2364" t="str">
        <f>IF(TITLE_NUMBER_PR_CHANGE="",IF(TITLE_NUMBER_PR="","",TITLE_NUMBER_PR),TITLE_NUMBER_PR_CHANGE)</f>
        <v>27-2139</v>
      </c>
      <c r="AE31" s="2364"/>
      <c r="AF31" s="2364"/>
      <c r="AG31" s="2364"/>
      <c r="AH31" s="2364"/>
      <c r="AI31" s="2364"/>
      <c r="AJ31" s="2364"/>
      <c r="AK31" s="439"/>
      <c r="AL31" s="439"/>
      <c r="AM31" s="393"/>
      <c r="AN31" s="481"/>
      <c r="AO31" s="481"/>
      <c r="AP31" s="481"/>
      <c r="AQ31" s="481"/>
      <c r="AR31" s="481"/>
      <c r="AS31" s="531">
        <v>0</v>
      </c>
    </row>
    <row s="560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04" customFormat="1" customHeight="1" ht="18.75">
      <c r="A34" s="1481"/>
      <c r="B34" s="1481"/>
      <c r="C34" s="1481"/>
      <c r="D34" s="1481"/>
      <c r="E34" s="1481"/>
      <c r="F34" s="1481"/>
      <c r="G34" s="1481"/>
      <c r="H34" s="1481"/>
      <c r="I34" s="1481"/>
      <c r="J34" s="1481"/>
      <c r="K34" s="1481"/>
      <c r="L34" s="1482"/>
      <c r="M34" s="1481"/>
      <c r="N34" s="1481"/>
      <c r="O34" s="1481"/>
      <c r="S34" s="2363" t="s">
        <v>516</v>
      </c>
      <c r="T34" s="2363"/>
      <c r="U34" s="1485"/>
      <c r="V34" s="2377" t="str">
        <f>IF(TITLE_DATE_PR_CHANGE="",IF(TITLE_DATE_PR="","",TITLE_DATE_PR),TITLE_DATE_PR_CHANGE)</f>
        <v>45408.605891203704</v>
      </c>
      <c r="W34" s="2377"/>
      <c r="X34" s="2377"/>
      <c r="Y34" s="2377"/>
      <c r="Z34" s="2377"/>
      <c r="AA34" s="2377"/>
      <c r="AB34" s="2377"/>
      <c r="AC34" s="439"/>
      <c r="AD34" s="2377" t="str">
        <f>IF(TITLE_DATE_PR_CHANGE="",IF(TITLE_DATE_PR="","",TITLE_DATE_PR),TITLE_DATE_PR_CHANGE)</f>
        <v>45408.605891203704</v>
      </c>
      <c r="AE34" s="2377"/>
      <c r="AF34" s="2377"/>
      <c r="AG34" s="2377"/>
      <c r="AH34" s="2377"/>
      <c r="AI34" s="2377"/>
      <c r="AJ34" s="2377"/>
      <c r="AK34" s="439"/>
      <c r="AL34" s="439"/>
      <c r="AM34" s="393"/>
      <c r="AN34" s="481"/>
      <c r="AO34" s="481"/>
      <c r="AP34" s="481"/>
      <c r="AQ34" s="481"/>
      <c r="AR34" s="481"/>
      <c r="AS34" s="531">
        <v>0</v>
      </c>
    </row>
    <row s="5604" customFormat="1" customHeight="1" ht="18.75">
      <c r="A35" s="1481"/>
      <c r="B35" s="1481"/>
      <c r="C35" s="1481"/>
      <c r="D35" s="1481"/>
      <c r="E35" s="1481"/>
      <c r="F35" s="1481"/>
      <c r="G35" s="1481"/>
      <c r="H35" s="1481"/>
      <c r="I35" s="1481"/>
      <c r="J35" s="1481"/>
      <c r="K35" s="1481"/>
      <c r="L35" s="1482"/>
      <c r="M35" s="1481"/>
      <c r="N35" s="1481"/>
      <c r="O35" s="1481"/>
      <c r="S35" s="2363" t="s">
        <v>517</v>
      </c>
      <c r="T35" s="2363"/>
      <c r="U35" s="1485"/>
      <c r="V35" s="2364" t="str">
        <f>IF(TITLE_NUMBER_PR_CHANGE="",IF(TITLE_NUMBER_PR="","",TITLE_NUMBER_PR),TITLE_NUMBER_PR_CHANGE)</f>
        <v>27-2139</v>
      </c>
      <c r="W35" s="2364"/>
      <c r="X35" s="2364"/>
      <c r="Y35" s="2364"/>
      <c r="Z35" s="2364"/>
      <c r="AA35" s="2364"/>
      <c r="AB35" s="2364"/>
      <c r="AC35" s="439"/>
      <c r="AD35" s="2364" t="str">
        <f>IF(TITLE_NUMBER_PR_CHANGE="",IF(TITLE_NUMBER_PR="","",TITLE_NUMBER_PR),TITLE_NUMBER_PR_CHANGE)</f>
        <v>27-2139</v>
      </c>
      <c r="AE35" s="2364"/>
      <c r="AF35" s="2364"/>
      <c r="AG35" s="2364"/>
      <c r="AH35" s="2364"/>
      <c r="AI35" s="2364"/>
      <c r="AJ35" s="2364"/>
      <c r="AK35" s="439"/>
      <c r="AL35" s="439"/>
      <c r="AM35" s="393"/>
      <c r="AN35" s="481"/>
      <c r="AO35" s="481"/>
      <c r="AP35" s="481"/>
      <c r="AQ35" s="481"/>
      <c r="AR35" s="481"/>
      <c r="AS35" s="531">
        <v>0</v>
      </c>
    </row>
    <row s="5604"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518</v>
      </c>
      <c r="AD36" s="439"/>
      <c r="AE36" s="439"/>
      <c r="AF36" s="439"/>
      <c r="AG36" s="439"/>
      <c r="AH36" s="439"/>
      <c r="AI36" s="439"/>
      <c r="AJ36" s="439"/>
      <c r="AK36" s="391" t="s">
        <v>518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393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394</v>
      </c>
      <c r="AS38" s="1268">
        <v>14</v>
      </c>
    </row>
    <row customHeight="1" ht="14.699999999999998">
      <c r="Q39" s="489"/>
      <c r="R39" s="489"/>
      <c r="S39" s="2386" t="s">
        <v>88</v>
      </c>
      <c r="T39" s="2322" t="s">
        <v>519</v>
      </c>
      <c r="U39" s="414"/>
      <c r="V39" s="2387" t="s">
        <v>520</v>
      </c>
      <c r="W39" s="2388"/>
      <c r="X39" s="2388"/>
      <c r="Y39" s="2388"/>
      <c r="Z39" s="2388"/>
      <c r="AA39" s="2388"/>
      <c r="AB39" s="2389"/>
      <c r="AC39" s="2390" t="s">
        <v>521</v>
      </c>
      <c r="AD39" s="2387" t="s">
        <v>520</v>
      </c>
      <c r="AE39" s="2388"/>
      <c r="AF39" s="2388"/>
      <c r="AG39" s="2388"/>
      <c r="AH39" s="2388"/>
      <c r="AI39" s="2388"/>
      <c r="AJ39" s="2389"/>
      <c r="AK39" s="2390" t="s">
        <v>522</v>
      </c>
      <c r="AL39" s="2393" t="s">
        <v>523</v>
      </c>
      <c r="AM39" s="2240"/>
      <c r="AS39" s="1268">
        <v>14</v>
      </c>
    </row>
    <row customHeight="1" ht="35.699999999999996">
      <c r="Q40" s="489"/>
      <c r="R40" s="489"/>
      <c r="S40" s="2386"/>
      <c r="T40" s="2322"/>
      <c r="U40" s="1144"/>
      <c r="V40" s="2373" t="s">
        <v>524</v>
      </c>
      <c r="W40" s="2723" t="s">
        <v>525</v>
      </c>
      <c r="X40" s="2375" t="s">
        <v>526</v>
      </c>
      <c r="Y40" s="2376"/>
      <c r="Z40" s="2375" t="s">
        <v>527</v>
      </c>
      <c r="AA40" s="2382"/>
      <c r="AB40" s="2376"/>
      <c r="AC40" s="2391"/>
      <c r="AD40" s="2373" t="s">
        <v>524</v>
      </c>
      <c r="AE40" s="2396" t="s">
        <v>525</v>
      </c>
      <c r="AF40" s="2375" t="s">
        <v>526</v>
      </c>
      <c r="AG40" s="2376"/>
      <c r="AH40" s="2375" t="s">
        <v>527</v>
      </c>
      <c r="AI40" s="2382"/>
      <c r="AJ40" s="2376"/>
      <c r="AK40" s="2391"/>
      <c r="AL40" s="2394"/>
      <c r="AM40" s="2240"/>
      <c r="AS40" s="1268">
        <v>34</v>
      </c>
    </row>
    <row customHeight="1" ht="35.699999999999996">
      <c r="A41" s="1483"/>
      <c r="B41" s="1483" t="s">
        <v>167</v>
      </c>
      <c r="C41" s="1483" t="s">
        <v>168</v>
      </c>
      <c r="D41" s="1483" t="s">
        <v>169</v>
      </c>
      <c r="E41" s="1477" t="s">
        <v>528</v>
      </c>
      <c r="F41" s="1477" t="s">
        <v>529</v>
      </c>
      <c r="G41" s="1477" t="s">
        <v>530</v>
      </c>
      <c r="H41" s="1477" t="s">
        <v>531</v>
      </c>
      <c r="I41" s="1477" t="s">
        <v>532</v>
      </c>
      <c r="J41" s="1477" t="s">
        <v>533</v>
      </c>
      <c r="K41" s="1477" t="s">
        <v>534</v>
      </c>
      <c r="L41" s="1477" t="s">
        <v>509</v>
      </c>
      <c r="Q41" s="489"/>
      <c r="R41" s="489"/>
      <c r="S41" s="2386"/>
      <c r="T41" s="2322"/>
      <c r="U41" s="415"/>
      <c r="V41" s="2374"/>
      <c r="W41" s="2397"/>
      <c r="X41" s="1335" t="s">
        <v>535</v>
      </c>
      <c r="Y41" s="1335" t="s">
        <v>536</v>
      </c>
      <c r="Z41" s="1334" t="s">
        <v>537</v>
      </c>
      <c r="AA41" s="2383" t="s">
        <v>538</v>
      </c>
      <c r="AB41" s="2384"/>
      <c r="AC41" s="2392"/>
      <c r="AD41" s="2374"/>
      <c r="AE41" s="2397"/>
      <c r="AF41" s="1335" t="s">
        <v>535</v>
      </c>
      <c r="AG41" s="1335" t="s">
        <v>536</v>
      </c>
      <c r="AH41" s="1426" t="s">
        <v>537</v>
      </c>
      <c r="AI41" s="2383" t="s">
        <v>538</v>
      </c>
      <c r="AJ41" s="2384"/>
      <c r="AK41" s="2392"/>
      <c r="AL41" s="2395"/>
      <c r="AM41" s="2240"/>
      <c r="AS41" s="1268">
        <v>34</v>
      </c>
    </row>
    <row s="607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136</v>
      </c>
      <c r="T42" s="1368" t="s">
        <v>103</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187</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155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187</v>
      </c>
      <c r="B44" s="1476" t="s">
        <v>188</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490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491</v>
      </c>
      <c r="AO44" s="613"/>
      <c r="AP44" s="613" t="str">
        <f>IF(T44="","",T44)</f>
        <v>Территория действия тарифа</v>
      </c>
      <c r="AQ44" s="613"/>
      <c r="AR44" s="613"/>
      <c r="AS44" s="1268">
        <v>23</v>
      </c>
    </row>
    <row customHeight="1" ht="24">
      <c r="A45" s="1476" t="s">
        <v>187</v>
      </c>
      <c r="B45" s="1476" t="s">
        <v>188</v>
      </c>
      <c r="C45" s="1476" t="s">
        <v>189</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492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493</v>
      </c>
      <c r="AO45" s="613"/>
      <c r="AP45" s="613" t="str">
        <f>IF(T45="","",T45)</f>
        <v>Наименование системы теплоснабжения </v>
      </c>
      <c r="AQ45" s="613"/>
      <c r="AR45" s="613"/>
      <c r="AS45" s="1268">
        <v>23</v>
      </c>
    </row>
    <row customHeight="1" ht="24">
      <c r="A46" s="1476" t="s">
        <v>187</v>
      </c>
      <c r="B46" s="1476" t="s">
        <v>188</v>
      </c>
      <c r="C46" s="1476" t="s">
        <v>189</v>
      </c>
      <c r="D46" s="1476" t="s">
        <v>190</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494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495</v>
      </c>
      <c r="AO46" s="613"/>
      <c r="AP46" s="613" t="str">
        <f>IF(T46="","",T46)</f>
        <v>Источник тепловой энергии  </v>
      </c>
      <c r="AQ46" s="613"/>
      <c r="AR46" s="613"/>
      <c r="AS46" s="1268">
        <v>23</v>
      </c>
    </row>
    <row customHeight="1" ht="49.5">
      <c r="A47" s="1476" t="s">
        <v>187</v>
      </c>
      <c r="B47" s="1476" t="s">
        <v>188</v>
      </c>
      <c r="C47" s="1476" t="s">
        <v>189</v>
      </c>
      <c r="D47" s="1476" t="s">
        <v>190</v>
      </c>
      <c r="E47" s="2372"/>
      <c r="F47" s="2372"/>
      <c r="G47" s="2372"/>
      <c r="H47" s="2372"/>
      <c r="I47" s="2369" t="str">
        <f>S46&amp;".1"</f>
        <v>....1</v>
      </c>
      <c r="J47" s="1476"/>
      <c r="K47" s="1476"/>
      <c r="L47" s="1477" t="s">
        <v>496</v>
      </c>
      <c r="P47" s="2370">
        <v>1</v>
      </c>
      <c r="Q47" s="1333"/>
      <c r="R47" s="469"/>
      <c r="S47" s="1337" t="str">
        <f>$I47</f>
        <v>....1</v>
      </c>
      <c r="T47" s="398" t="s">
        <v>497</v>
      </c>
      <c r="U47" s="413"/>
      <c r="V47" s="2358"/>
      <c r="W47" s="2359"/>
      <c r="X47" s="2359"/>
      <c r="Y47" s="2359"/>
      <c r="Z47" s="2359"/>
      <c r="AA47" s="2359"/>
      <c r="AB47" s="2359"/>
      <c r="AC47" s="2360"/>
      <c r="AD47" s="2358"/>
      <c r="AE47" s="2359"/>
      <c r="AF47" s="2359"/>
      <c r="AG47" s="2359"/>
      <c r="AH47" s="2359"/>
      <c r="AI47" s="2359"/>
      <c r="AJ47" s="2359"/>
      <c r="AK47" s="2359"/>
      <c r="AL47" s="2360"/>
      <c r="AM47" s="1371" t="s">
        <v>498</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187</v>
      </c>
      <c r="B48" s="1476" t="s">
        <v>188</v>
      </c>
      <c r="C48" s="1476" t="s">
        <v>189</v>
      </c>
      <c r="D48" s="1476" t="s">
        <v>190</v>
      </c>
      <c r="E48" s="2372"/>
      <c r="F48" s="2372"/>
      <c r="G48" s="2372"/>
      <c r="H48" s="2372"/>
      <c r="I48" s="2399"/>
      <c r="J48" s="2369" t="str">
        <f>I47&amp;".1"</f>
        <v>....1.1</v>
      </c>
      <c r="K48" s="1476"/>
      <c r="L48" s="1477" t="s">
        <v>499</v>
      </c>
      <c r="P48" s="2370"/>
      <c r="Q48" s="2370">
        <v>1</v>
      </c>
      <c r="R48" s="470"/>
      <c r="S48" s="1337" t="str">
        <f>$J48</f>
        <v>....1.1</v>
      </c>
      <c r="T48" s="399" t="s">
        <v>500</v>
      </c>
      <c r="U48" s="413"/>
      <c r="V48" s="2358"/>
      <c r="W48" s="2359"/>
      <c r="X48" s="2359"/>
      <c r="Y48" s="2359"/>
      <c r="Z48" s="2359"/>
      <c r="AA48" s="2359"/>
      <c r="AB48" s="2359"/>
      <c r="AC48" s="2360"/>
      <c r="AD48" s="2358"/>
      <c r="AE48" s="2359"/>
      <c r="AF48" s="2359"/>
      <c r="AG48" s="2359"/>
      <c r="AH48" s="2359"/>
      <c r="AI48" s="2359"/>
      <c r="AJ48" s="2359"/>
      <c r="AK48" s="2359"/>
      <c r="AL48" s="2360"/>
      <c r="AM48" s="1371" t="s">
        <v>501</v>
      </c>
      <c r="AO48" s="613"/>
      <c r="AP48" s="613" t="str">
        <f>IF(T48="","",T48)</f>
        <v>Группа потребителей</v>
      </c>
      <c r="AQ48" s="613"/>
      <c r="AR48" s="613"/>
      <c r="AS48" s="1268">
        <v>23</v>
      </c>
    </row>
    <row customHeight="1" ht="24">
      <c r="A49" s="1476" t="s">
        <v>187</v>
      </c>
      <c r="B49" s="1476" t="s">
        <v>188</v>
      </c>
      <c r="C49" s="1476" t="s">
        <v>189</v>
      </c>
      <c r="D49" s="1476" t="s">
        <v>190</v>
      </c>
      <c r="E49" s="2372"/>
      <c r="F49" s="2372"/>
      <c r="G49" s="2372"/>
      <c r="H49" s="2372"/>
      <c r="I49" s="2399"/>
      <c r="J49" s="2399"/>
      <c r="K49" s="2369" t="str">
        <f>J48&amp;".1"</f>
        <v>....1.1.1</v>
      </c>
      <c r="L49" s="1477" t="s">
        <v>502</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503</v>
      </c>
      <c r="AN49" s="624">
        <f>STRCHECKDATE(V50:AL50)</f>
      </c>
      <c r="AO49" s="613"/>
      <c r="AP49" s="613" t="str">
        <f>IF(T49="","",T49)</f>
        <v/>
      </c>
      <c r="AQ49" s="613"/>
      <c r="AR49" s="613"/>
      <c r="AS49" s="1268">
        <v>23</v>
      </c>
    </row>
    <row customHeight="1" ht="1.05">
      <c r="A50" s="1476" t="s">
        <v>187</v>
      </c>
      <c r="B50" s="1476" t="s">
        <v>188</v>
      </c>
      <c r="C50" s="1476" t="s">
        <v>189</v>
      </c>
      <c r="D50" s="1476" t="s">
        <v>190</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187</v>
      </c>
      <c r="B51" s="1476" t="s">
        <v>188</v>
      </c>
      <c r="C51" s="1476" t="s">
        <v>189</v>
      </c>
      <c r="D51" s="1476" t="s">
        <v>190</v>
      </c>
      <c r="E51" s="2372"/>
      <c r="F51" s="2372"/>
      <c r="G51" s="2372"/>
      <c r="H51" s="2372"/>
      <c r="I51" s="2399"/>
      <c r="J51" s="2369"/>
      <c r="K51" s="1476"/>
      <c r="L51" s="1477"/>
      <c r="P51" s="2370"/>
      <c r="Q51" s="2370"/>
      <c r="R51" s="469"/>
      <c r="S51" s="1391"/>
      <c r="T51" s="401" t="s">
        <v>504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187</v>
      </c>
      <c r="B52" s="1476" t="s">
        <v>188</v>
      </c>
      <c r="C52" s="1476" t="s">
        <v>189</v>
      </c>
      <c r="D52" s="1476" t="s">
        <v>190</v>
      </c>
      <c r="E52" s="2372"/>
      <c r="F52" s="2372"/>
      <c r="G52" s="2372"/>
      <c r="H52" s="2372"/>
      <c r="I52" s="2369"/>
      <c r="J52" s="1476"/>
      <c r="K52" s="1476"/>
      <c r="L52" s="1477"/>
      <c r="P52" s="2370"/>
      <c r="Q52" s="1333"/>
      <c r="R52" s="469"/>
      <c r="S52" s="1391"/>
      <c r="T52" s="400" t="s">
        <v>505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187</v>
      </c>
      <c r="B53" s="1476" t="s">
        <v>188</v>
      </c>
      <c r="C53" s="1476" t="s">
        <v>189</v>
      </c>
      <c r="D53" s="1476" t="s">
        <v>190</v>
      </c>
      <c r="E53" s="2372"/>
      <c r="F53" s="2372"/>
      <c r="G53" s="2372"/>
      <c r="H53" s="2371"/>
      <c r="I53" s="1476"/>
      <c r="J53" s="1476"/>
      <c r="K53" s="1476"/>
      <c r="L53" s="1477"/>
      <c r="M53" s="1478"/>
      <c r="N53" s="1478"/>
      <c r="O53" s="650"/>
      <c r="P53" s="473"/>
      <c r="Q53" s="488"/>
      <c r="R53" s="468"/>
      <c r="S53" s="1391"/>
      <c r="T53" s="478" t="s">
        <v>506</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8" customFormat="1" customHeight="1" ht="1.05">
      <c r="A54" s="1456" t="s">
        <v>187</v>
      </c>
      <c r="B54" s="1456" t="s">
        <v>188</v>
      </c>
      <c r="C54" s="1456" t="s">
        <v>189</v>
      </c>
      <c r="D54" s="1427"/>
      <c r="E54" s="2372"/>
      <c r="F54" s="2372"/>
      <c r="G54" s="2371"/>
      <c r="H54" s="1427"/>
      <c r="I54" s="1427"/>
      <c r="J54" s="1427"/>
      <c r="K54" s="1427"/>
      <c r="L54" s="1452"/>
      <c r="M54" s="1428"/>
      <c r="N54" s="1428"/>
      <c r="P54" s="1429"/>
      <c r="Q54" s="1430"/>
      <c r="R54" s="1429"/>
      <c r="S54" s="1435"/>
      <c r="T54" s="1438" t="s">
        <v>507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8" customFormat="1" customHeight="1" ht="1.05">
      <c r="A55" s="1456" t="s">
        <v>187</v>
      </c>
      <c r="B55" s="1456" t="s">
        <v>188</v>
      </c>
      <c r="C55" s="1427"/>
      <c r="D55" s="1427"/>
      <c r="E55" s="2372"/>
      <c r="F55" s="2371"/>
      <c r="G55" s="1427"/>
      <c r="H55" s="1427"/>
      <c r="I55" s="1427"/>
      <c r="J55" s="1427"/>
      <c r="K55" s="1427"/>
      <c r="L55" s="1452"/>
      <c r="M55" s="1434"/>
      <c r="N55" s="1434"/>
      <c r="P55" s="1429"/>
      <c r="Q55" s="1430"/>
      <c r="R55" s="1429"/>
      <c r="S55" s="1435"/>
      <c r="T55" s="1438" t="s">
        <v>312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8" customFormat="1" customHeight="1" ht="1.05">
      <c r="A56" s="1456" t="s">
        <v>187</v>
      </c>
      <c r="B56" s="1456"/>
      <c r="C56" s="1456"/>
      <c r="D56" s="1456"/>
      <c r="E56" s="2371"/>
      <c r="F56" s="1456"/>
      <c r="G56" s="1456"/>
      <c r="H56" s="1456"/>
      <c r="I56" s="1456"/>
      <c r="J56" s="1456"/>
      <c r="K56" s="1456"/>
      <c r="L56" s="1459"/>
      <c r="M56" s="1434"/>
      <c r="N56" s="1434"/>
      <c r="O56" s="631"/>
      <c r="P56" s="493"/>
      <c r="Q56" s="1457"/>
      <c r="R56" s="493"/>
      <c r="S56" s="1435"/>
      <c r="T56" s="1438" t="s">
        <v>360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361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B816D-4353-7123-6525-15E3B2C6B84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7" width="10.57421875" hidden="1"/>
    <col min="2" max="2" style="5467" width="11.00390625" hidden="1" customWidth="1"/>
    <col min="3" max="3" style="5467" width="10.57421875" hidden="1"/>
    <col min="4" max="4" style="5467" width="11.8515625" hidden="1" customWidth="1"/>
    <col min="5" max="5" style="5467" width="10.00390625" hidden="1" customWidth="1"/>
    <col min="6" max="6" style="5467" width="8.7109375" hidden="1" customWidth="1"/>
    <col min="7" max="7" style="5467" width="7.57421875" hidden="1" customWidth="1"/>
    <col min="8" max="8" style="5467" width="11.421875" hidden="1" customWidth="1"/>
    <col min="9" max="9" style="5467" width="12.00390625" hidden="1" customWidth="1"/>
    <col min="10" max="10" style="5467" width="9.8515625" hidden="1" customWidth="1"/>
    <col min="11" max="11" style="5467" width="11.421875" hidden="1" customWidth="1"/>
    <col min="12" max="12" style="6316" width="19.140625" hidden="1" customWidth="1"/>
    <col min="13" max="14" style="6317" width="12.28125" hidden="1" customWidth="1"/>
    <col min="15" max="15" style="6317" width="23.421875" hidden="1" customWidth="1"/>
    <col min="16" max="16" style="6318" width="3.00390625" customWidth="1"/>
    <col min="17" max="18" style="6319" width="3.00390625" customWidth="1"/>
    <col min="19" max="19" style="6320" width="12.00390625" customWidth="1"/>
    <col min="20" max="20" style="5387" width="31.00390625" customWidth="1"/>
    <col min="21" max="21" style="5387" width="0.140625" customWidth="1"/>
    <col min="22" max="22" style="5387" width="24.7109375" hidden="1" customWidth="1"/>
    <col min="23" max="23" style="5387" width="0.140625" hidden="1" customWidth="1"/>
    <col min="24" max="25" style="5387" width="24.7109375" hidden="1" customWidth="1"/>
    <col min="26" max="26" style="5387" width="11.7109375" hidden="1" customWidth="1"/>
    <col min="27" max="27" style="5387" width="3.7109375" hidden="1" customWidth="1"/>
    <col min="28" max="28" style="5387" width="11.7109375" hidden="1" customWidth="1"/>
    <col min="29" max="29" style="5387" width="8.57421875" hidden="1" customWidth="1"/>
    <col min="30" max="30" style="5387" width="24.7109375" customWidth="1"/>
    <col min="31" max="31" style="5387" width="0.140625" customWidth="1"/>
    <col min="32" max="33" style="5387" width="24.00390625" customWidth="1"/>
    <col min="34" max="34" style="5387" width="11.00390625" customWidth="1"/>
    <col min="35" max="35" style="5387" width="3.7109375" customWidth="1"/>
    <col min="36" max="36" style="5387" width="11.00390625" customWidth="1"/>
    <col min="37" max="37" style="5387" width="8.57421875" hidden="1" customWidth="1"/>
    <col min="38" max="38" style="5387" width="4.00390625" customWidth="1"/>
    <col min="39" max="39" style="5387" width="115.00390625" customWidth="1"/>
    <col min="40" max="44" style="5468" width="10.00390625" customWidth="1"/>
    <col min="45" max="45" style="538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155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489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490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491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492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493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494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495</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496</v>
      </c>
      <c r="M6" s="650"/>
      <c r="P6" s="2370">
        <v>1</v>
      </c>
      <c r="Q6" s="1444"/>
      <c r="R6" s="469"/>
      <c r="S6" s="1449">
        <f>$I6</f>
      </c>
      <c r="T6" s="398" t="s">
        <v>497</v>
      </c>
      <c r="U6" s="413"/>
      <c r="V6" s="2358"/>
      <c r="W6" s="2359"/>
      <c r="X6" s="2359"/>
      <c r="Y6" s="2359"/>
      <c r="Z6" s="2359"/>
      <c r="AA6" s="2359"/>
      <c r="AB6" s="2359"/>
      <c r="AC6" s="2360"/>
      <c r="AD6" s="2358"/>
      <c r="AE6" s="2359"/>
      <c r="AF6" s="2359"/>
      <c r="AG6" s="2359"/>
      <c r="AH6" s="2359"/>
      <c r="AI6" s="2359"/>
      <c r="AJ6" s="2359"/>
      <c r="AK6" s="2359"/>
      <c r="AL6" s="2360"/>
      <c r="AM6" s="1371" t="s">
        <v>498</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499</v>
      </c>
      <c r="M7" s="650"/>
      <c r="N7" s="1479"/>
      <c r="P7" s="2370"/>
      <c r="Q7" s="2370">
        <v>1</v>
      </c>
      <c r="R7" s="470"/>
      <c r="S7" s="1449">
        <f>$J7</f>
      </c>
      <c r="T7" s="399" t="s">
        <v>500</v>
      </c>
      <c r="U7" s="413"/>
      <c r="V7" s="2358"/>
      <c r="W7" s="2359"/>
      <c r="X7" s="2359"/>
      <c r="Y7" s="2359"/>
      <c r="Z7" s="2359"/>
      <c r="AA7" s="2359"/>
      <c r="AB7" s="2359"/>
      <c r="AC7" s="2360"/>
      <c r="AD7" s="2358"/>
      <c r="AE7" s="2359"/>
      <c r="AF7" s="2359"/>
      <c r="AG7" s="2359"/>
      <c r="AH7" s="2359"/>
      <c r="AI7" s="2359"/>
      <c r="AJ7" s="2359"/>
      <c r="AK7" s="2359"/>
      <c r="AL7" s="2360"/>
      <c r="AM7" s="1371" t="s">
        <v>501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502</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503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504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505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506</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507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312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360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7" customFormat="1" customHeight="1" ht="22.5" hidden="1">
      <c r="L20" s="1442"/>
      <c r="M20" s="1475"/>
      <c r="N20" s="1475"/>
      <c r="O20" s="1480" t="s">
        <v>508</v>
      </c>
      <c r="P20" s="1475"/>
      <c r="Q20" s="1484"/>
      <c r="R20" s="1484"/>
      <c r="S20" s="842"/>
      <c r="Z20" s="1480"/>
      <c r="AB20" s="1480"/>
      <c r="AC20" s="1479"/>
      <c r="AH20" s="1480"/>
      <c r="AJ20" s="1480"/>
      <c r="AK20" s="1479"/>
      <c r="AN20" s="624"/>
      <c r="AO20" s="624"/>
      <c r="AP20" s="624"/>
      <c r="AQ20" s="624"/>
      <c r="AR20" s="624"/>
      <c r="AS20" s="1273">
        <v>0</v>
      </c>
    </row>
    <row s="5467" customFormat="1" customHeight="1" ht="14.25" hidden="1">
      <c r="L21" s="1442"/>
      <c r="M21" s="1475"/>
      <c r="N21" s="1475"/>
      <c r="O21" s="1475"/>
      <c r="P21" s="1475"/>
      <c r="Q21" s="1484"/>
      <c r="R21" s="1484"/>
      <c r="S21" s="842"/>
      <c r="AC21" s="1479"/>
      <c r="AK21" s="1479"/>
      <c r="AN21" s="624"/>
      <c r="AO21" s="624"/>
      <c r="AP21" s="624"/>
      <c r="AQ21" s="624"/>
      <c r="AR21" s="624"/>
      <c r="AS21" s="1273">
        <v>0</v>
      </c>
    </row>
    <row s="5467" customFormat="1" customHeight="1" ht="14.25" hidden="1">
      <c r="L22" s="1442"/>
      <c r="M22" s="1475"/>
      <c r="N22" s="1475"/>
      <c r="O22" s="1477" t="s">
        <v>509</v>
      </c>
      <c r="P22" s="1475"/>
      <c r="Q22" s="1484"/>
      <c r="R22" s="1484"/>
      <c r="S22" s="842"/>
      <c r="T22" s="1273" t="s">
        <v>510</v>
      </c>
      <c r="AA22" s="299" t="s">
        <v>511</v>
      </c>
      <c r="AC22" s="299" t="s">
        <v>512</v>
      </c>
      <c r="AD22" s="1273" t="s">
        <v>510</v>
      </c>
      <c r="AI22" s="299" t="s">
        <v>513</v>
      </c>
      <c r="AK22" s="299" t="s">
        <v>512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0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04" customFormat="1" customHeight="1" ht="18.75" hidden="1">
      <c r="A30" s="1481"/>
      <c r="B30" s="1481"/>
      <c r="C30" s="1481"/>
      <c r="D30" s="1481"/>
      <c r="E30" s="1481"/>
      <c r="F30" s="1481"/>
      <c r="G30" s="1481"/>
      <c r="H30" s="1481"/>
      <c r="I30" s="1481"/>
      <c r="J30" s="1481"/>
      <c r="K30" s="1481"/>
      <c r="L30" s="1482"/>
      <c r="M30" s="1481"/>
      <c r="N30" s="1481"/>
      <c r="O30" s="1481"/>
      <c r="S30" s="2363" t="s">
        <v>514</v>
      </c>
      <c r="T30" s="2363"/>
      <c r="U30" s="1485"/>
      <c r="V30" s="2377" t="str">
        <f>IF(TITLE_DATE_PR_CHANGE="",IF(TITLE_DATE_PR="","",TITLE_DATE_PR),TITLE_DATE_PR_CHANGE)</f>
        <v>45408.605891203704</v>
      </c>
      <c r="W30" s="2377"/>
      <c r="X30" s="2377"/>
      <c r="Y30" s="2377"/>
      <c r="Z30" s="2377"/>
      <c r="AA30" s="2377"/>
      <c r="AB30" s="2377"/>
      <c r="AC30" s="439"/>
      <c r="AD30" s="2377" t="str">
        <f>IF(TITLE_DATE_PR_CHANGE="",IF(TITLE_DATE_PR="","",TITLE_DATE_PR),TITLE_DATE_PR_CHANGE)</f>
        <v>45408.605891203704</v>
      </c>
      <c r="AE30" s="2377"/>
      <c r="AF30" s="2377"/>
      <c r="AG30" s="2377"/>
      <c r="AH30" s="2377"/>
      <c r="AI30" s="2377"/>
      <c r="AJ30" s="2377"/>
      <c r="AK30" s="439"/>
      <c r="AL30" s="439"/>
      <c r="AM30" s="393"/>
      <c r="AN30" s="481"/>
      <c r="AO30" s="481"/>
      <c r="AP30" s="481"/>
      <c r="AQ30" s="481"/>
      <c r="AR30" s="481"/>
      <c r="AS30" s="531">
        <v>0</v>
      </c>
    </row>
    <row s="5604" customFormat="1" customHeight="1" ht="18.75" hidden="1">
      <c r="A31" s="1481"/>
      <c r="B31" s="1481"/>
      <c r="C31" s="1481"/>
      <c r="D31" s="1481"/>
      <c r="E31" s="1481"/>
      <c r="F31" s="1481"/>
      <c r="G31" s="1481"/>
      <c r="H31" s="1481"/>
      <c r="I31" s="1481"/>
      <c r="J31" s="1481"/>
      <c r="K31" s="1481"/>
      <c r="L31" s="1482"/>
      <c r="M31" s="1481"/>
      <c r="N31" s="1481"/>
      <c r="O31" s="1481"/>
      <c r="S31" s="2363" t="s">
        <v>515</v>
      </c>
      <c r="T31" s="2363"/>
      <c r="U31" s="1485"/>
      <c r="V31" s="2364" t="str">
        <f>IF(TITLE_NUMBER_PR_CHANGE="",IF(TITLE_NUMBER_PR="","",TITLE_NUMBER_PR),TITLE_NUMBER_PR_CHANGE)</f>
        <v>27-2139</v>
      </c>
      <c r="W31" s="2364"/>
      <c r="X31" s="2364"/>
      <c r="Y31" s="2364"/>
      <c r="Z31" s="2364"/>
      <c r="AA31" s="2364"/>
      <c r="AB31" s="2364"/>
      <c r="AC31" s="439"/>
      <c r="AD31" s="2364" t="str">
        <f>IF(TITLE_NUMBER_PR_CHANGE="",IF(TITLE_NUMBER_PR="","",TITLE_NUMBER_PR),TITLE_NUMBER_PR_CHANGE)</f>
        <v>27-2139</v>
      </c>
      <c r="AE31" s="2364"/>
      <c r="AF31" s="2364"/>
      <c r="AG31" s="2364"/>
      <c r="AH31" s="2364"/>
      <c r="AI31" s="2364"/>
      <c r="AJ31" s="2364"/>
      <c r="AK31" s="439"/>
      <c r="AL31" s="439"/>
      <c r="AM31" s="393"/>
      <c r="AN31" s="481"/>
      <c r="AO31" s="481"/>
      <c r="AP31" s="481"/>
      <c r="AQ31" s="481"/>
      <c r="AR31" s="481"/>
      <c r="AS31" s="531">
        <v>0</v>
      </c>
    </row>
    <row s="560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04" customFormat="1" customHeight="1" ht="18.75">
      <c r="A34" s="1481"/>
      <c r="B34" s="1481"/>
      <c r="C34" s="1481"/>
      <c r="D34" s="1481"/>
      <c r="E34" s="1481"/>
      <c r="F34" s="1481"/>
      <c r="G34" s="1481"/>
      <c r="H34" s="1481"/>
      <c r="I34" s="1481"/>
      <c r="J34" s="1481"/>
      <c r="K34" s="1481"/>
      <c r="L34" s="1482"/>
      <c r="M34" s="1481"/>
      <c r="N34" s="1481"/>
      <c r="O34" s="1481"/>
      <c r="S34" s="2363" t="s">
        <v>516</v>
      </c>
      <c r="T34" s="2363"/>
      <c r="U34" s="1485"/>
      <c r="V34" s="2377" t="str">
        <f>IF(TITLE_DATE_PR_CHANGE="",IF(TITLE_DATE_PR="","",TITLE_DATE_PR),TITLE_DATE_PR_CHANGE)</f>
        <v>45408.605891203704</v>
      </c>
      <c r="W34" s="2377"/>
      <c r="X34" s="2377"/>
      <c r="Y34" s="2377"/>
      <c r="Z34" s="2377"/>
      <c r="AA34" s="2377"/>
      <c r="AB34" s="2377"/>
      <c r="AC34" s="439"/>
      <c r="AD34" s="2377" t="str">
        <f>IF(TITLE_DATE_PR_CHANGE="",IF(TITLE_DATE_PR="","",TITLE_DATE_PR),TITLE_DATE_PR_CHANGE)</f>
        <v>45408.605891203704</v>
      </c>
      <c r="AE34" s="2377"/>
      <c r="AF34" s="2377"/>
      <c r="AG34" s="2377"/>
      <c r="AH34" s="2377"/>
      <c r="AI34" s="2377"/>
      <c r="AJ34" s="2377"/>
      <c r="AK34" s="439"/>
      <c r="AL34" s="439"/>
      <c r="AM34" s="393"/>
      <c r="AN34" s="481"/>
      <c r="AO34" s="481"/>
      <c r="AP34" s="481"/>
      <c r="AQ34" s="481"/>
      <c r="AR34" s="481"/>
      <c r="AS34" s="531">
        <v>0</v>
      </c>
    </row>
    <row s="5604" customFormat="1" customHeight="1" ht="18.75">
      <c r="A35" s="1481"/>
      <c r="B35" s="1481"/>
      <c r="C35" s="1481"/>
      <c r="D35" s="1481"/>
      <c r="E35" s="1481"/>
      <c r="F35" s="1481"/>
      <c r="G35" s="1481"/>
      <c r="H35" s="1481"/>
      <c r="I35" s="1481"/>
      <c r="J35" s="1481"/>
      <c r="K35" s="1481"/>
      <c r="L35" s="1482"/>
      <c r="M35" s="1481"/>
      <c r="N35" s="1481"/>
      <c r="O35" s="1481"/>
      <c r="S35" s="2363" t="s">
        <v>517</v>
      </c>
      <c r="T35" s="2363"/>
      <c r="U35" s="1485"/>
      <c r="V35" s="2364" t="str">
        <f>IF(TITLE_NUMBER_PR_CHANGE="",IF(TITLE_NUMBER_PR="","",TITLE_NUMBER_PR),TITLE_NUMBER_PR_CHANGE)</f>
        <v>27-2139</v>
      </c>
      <c r="W35" s="2364"/>
      <c r="X35" s="2364"/>
      <c r="Y35" s="2364"/>
      <c r="Z35" s="2364"/>
      <c r="AA35" s="2364"/>
      <c r="AB35" s="2364"/>
      <c r="AC35" s="439"/>
      <c r="AD35" s="2364" t="str">
        <f>IF(TITLE_NUMBER_PR_CHANGE="",IF(TITLE_NUMBER_PR="","",TITLE_NUMBER_PR),TITLE_NUMBER_PR_CHANGE)</f>
        <v>27-2139</v>
      </c>
      <c r="AE35" s="2364"/>
      <c r="AF35" s="2364"/>
      <c r="AG35" s="2364"/>
      <c r="AH35" s="2364"/>
      <c r="AI35" s="2364"/>
      <c r="AJ35" s="2364"/>
      <c r="AK35" s="439"/>
      <c r="AL35" s="439"/>
      <c r="AM35" s="393"/>
      <c r="AN35" s="481"/>
      <c r="AO35" s="481"/>
      <c r="AP35" s="481"/>
      <c r="AQ35" s="481"/>
      <c r="AR35" s="481"/>
      <c r="AS35" s="531">
        <v>0</v>
      </c>
    </row>
    <row s="560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518</v>
      </c>
      <c r="AD36" s="439"/>
      <c r="AE36" s="439"/>
      <c r="AF36" s="439"/>
      <c r="AG36" s="439"/>
      <c r="AH36" s="439"/>
      <c r="AI36" s="439"/>
      <c r="AJ36" s="439"/>
      <c r="AK36" s="391" t="s">
        <v>518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393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394</v>
      </c>
      <c r="AS38" s="1268">
        <v>14</v>
      </c>
    </row>
    <row customHeight="1" ht="14.699999999999998">
      <c r="Q39" s="489"/>
      <c r="R39" s="489"/>
      <c r="S39" s="2386" t="s">
        <v>88</v>
      </c>
      <c r="T39" s="2322" t="s">
        <v>519</v>
      </c>
      <c r="U39" s="414"/>
      <c r="V39" s="2387" t="s">
        <v>520</v>
      </c>
      <c r="W39" s="2388"/>
      <c r="X39" s="2388"/>
      <c r="Y39" s="2388"/>
      <c r="Z39" s="2388"/>
      <c r="AA39" s="2388"/>
      <c r="AB39" s="2389"/>
      <c r="AC39" s="2390" t="s">
        <v>521</v>
      </c>
      <c r="AD39" s="2387" t="s">
        <v>520</v>
      </c>
      <c r="AE39" s="2388"/>
      <c r="AF39" s="2388"/>
      <c r="AG39" s="2388"/>
      <c r="AH39" s="2388"/>
      <c r="AI39" s="2388"/>
      <c r="AJ39" s="2389"/>
      <c r="AK39" s="2390" t="s">
        <v>522</v>
      </c>
      <c r="AL39" s="2393" t="s">
        <v>523</v>
      </c>
      <c r="AM39" s="2240"/>
      <c r="AS39" s="1268">
        <v>14</v>
      </c>
    </row>
    <row customHeight="1" ht="35.699999999999996">
      <c r="Q40" s="489"/>
      <c r="R40" s="489"/>
      <c r="S40" s="2386"/>
      <c r="T40" s="2322"/>
      <c r="U40" s="1144"/>
      <c r="V40" s="2373" t="s">
        <v>524</v>
      </c>
      <c r="W40" s="2396" t="s">
        <v>525</v>
      </c>
      <c r="X40" s="2375" t="s">
        <v>526</v>
      </c>
      <c r="Y40" s="2376"/>
      <c r="Z40" s="2375" t="s">
        <v>539</v>
      </c>
      <c r="AA40" s="2382"/>
      <c r="AB40" s="2376"/>
      <c r="AC40" s="2391"/>
      <c r="AD40" s="2373" t="s">
        <v>524</v>
      </c>
      <c r="AE40" s="2396" t="s">
        <v>525</v>
      </c>
      <c r="AF40" s="2375" t="s">
        <v>526</v>
      </c>
      <c r="AG40" s="2376"/>
      <c r="AH40" s="2375" t="s">
        <v>527</v>
      </c>
      <c r="AI40" s="2382"/>
      <c r="AJ40" s="2376"/>
      <c r="AK40" s="2391"/>
      <c r="AL40" s="2394"/>
      <c r="AM40" s="2240"/>
      <c r="AS40" s="1268">
        <v>34</v>
      </c>
    </row>
    <row customHeight="1" ht="35.699999999999996">
      <c r="A41" s="1483"/>
      <c r="B41" s="1483" t="s">
        <v>167</v>
      </c>
      <c r="C41" s="1483" t="s">
        <v>168</v>
      </c>
      <c r="D41" s="1483" t="s">
        <v>169</v>
      </c>
      <c r="E41" s="1477" t="s">
        <v>528</v>
      </c>
      <c r="F41" s="1477" t="s">
        <v>529</v>
      </c>
      <c r="G41" s="1477" t="s">
        <v>530</v>
      </c>
      <c r="H41" s="1477" t="s">
        <v>531</v>
      </c>
      <c r="I41" s="1477" t="s">
        <v>532</v>
      </c>
      <c r="J41" s="1477" t="s">
        <v>533</v>
      </c>
      <c r="K41" s="1477" t="s">
        <v>534</v>
      </c>
      <c r="L41" s="1477" t="s">
        <v>509</v>
      </c>
      <c r="Q41" s="489"/>
      <c r="R41" s="489"/>
      <c r="S41" s="2386"/>
      <c r="T41" s="2322"/>
      <c r="U41" s="415"/>
      <c r="V41" s="2374"/>
      <c r="W41" s="2397"/>
      <c r="X41" s="1335" t="s">
        <v>535</v>
      </c>
      <c r="Y41" s="1335" t="s">
        <v>536</v>
      </c>
      <c r="Z41" s="1451" t="s">
        <v>537</v>
      </c>
      <c r="AA41" s="2383" t="s">
        <v>538</v>
      </c>
      <c r="AB41" s="2384"/>
      <c r="AC41" s="2392"/>
      <c r="AD41" s="2374"/>
      <c r="AE41" s="2397"/>
      <c r="AF41" s="1335" t="s">
        <v>535</v>
      </c>
      <c r="AG41" s="1335" t="s">
        <v>536</v>
      </c>
      <c r="AH41" s="1451" t="s">
        <v>537</v>
      </c>
      <c r="AI41" s="2383" t="s">
        <v>538</v>
      </c>
      <c r="AJ41" s="2384"/>
      <c r="AK41" s="2392"/>
      <c r="AL41" s="2395"/>
      <c r="AM41" s="2240"/>
      <c r="AS41" s="1268">
        <v>34</v>
      </c>
    </row>
    <row s="607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136</v>
      </c>
      <c r="T42" s="1368" t="s">
        <v>103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155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192</v>
      </c>
      <c r="B44" s="1476" t="s">
        <v>193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490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491</v>
      </c>
      <c r="AO44" s="613"/>
      <c r="AP44" s="613" t="str">
        <f>IF(T44="","",T44)</f>
        <v>Территория действия тарифа</v>
      </c>
      <c r="AQ44" s="613"/>
      <c r="AR44" s="613"/>
      <c r="AS44" s="1268">
        <v>21</v>
      </c>
    </row>
    <row customHeight="1" ht="24">
      <c r="A45" s="1476" t="s">
        <v>192</v>
      </c>
      <c r="B45" s="1476" t="s">
        <v>193</v>
      </c>
      <c r="C45" s="1476" t="s">
        <v>194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492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493</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494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495</v>
      </c>
      <c r="AO46" s="613"/>
      <c r="AP46" s="613" t="str">
        <f>IF(T46="","",T46)</f>
        <v>Источник тепловой энергии  </v>
      </c>
      <c r="AQ46" s="613"/>
      <c r="AR46" s="613"/>
      <c r="AS46" s="1268">
        <v>21</v>
      </c>
    </row>
    <row customHeight="1" ht="49.5">
      <c r="A47" s="1476" t="s">
        <v>192</v>
      </c>
      <c r="B47" s="1476" t="s">
        <v>193</v>
      </c>
      <c r="C47" s="1476" t="s">
        <v>194</v>
      </c>
      <c r="D47" s="1476" t="s">
        <v>195</v>
      </c>
      <c r="E47" s="2372"/>
      <c r="F47" s="2372"/>
      <c r="G47" s="2372"/>
      <c r="H47" s="2372"/>
      <c r="I47" s="2369" t="str">
        <f>S46&amp;".1"</f>
        <v>....1</v>
      </c>
      <c r="J47" s="1476"/>
      <c r="K47" s="1476"/>
      <c r="L47" s="1477" t="s">
        <v>496</v>
      </c>
      <c r="P47" s="2370">
        <v>1</v>
      </c>
      <c r="Q47" s="1444"/>
      <c r="R47" s="469"/>
      <c r="S47" s="1449" t="str">
        <f>$I47</f>
        <v>....1</v>
      </c>
      <c r="T47" s="398" t="s">
        <v>497</v>
      </c>
      <c r="U47" s="413"/>
      <c r="V47" s="2358"/>
      <c r="W47" s="2359"/>
      <c r="X47" s="2359"/>
      <c r="Y47" s="2359"/>
      <c r="Z47" s="2359"/>
      <c r="AA47" s="2359"/>
      <c r="AB47" s="2359"/>
      <c r="AC47" s="2360"/>
      <c r="AD47" s="2358"/>
      <c r="AE47" s="2359"/>
      <c r="AF47" s="2359"/>
      <c r="AG47" s="2359"/>
      <c r="AH47" s="2359"/>
      <c r="AI47" s="2359"/>
      <c r="AJ47" s="2359"/>
      <c r="AK47" s="2359"/>
      <c r="AL47" s="2360"/>
      <c r="AM47" s="1371" t="s">
        <v>498</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192</v>
      </c>
      <c r="B48" s="1476" t="s">
        <v>193</v>
      </c>
      <c r="C48" s="1476" t="s">
        <v>194</v>
      </c>
      <c r="D48" s="1476" t="s">
        <v>195</v>
      </c>
      <c r="E48" s="2372"/>
      <c r="F48" s="2372"/>
      <c r="G48" s="2372"/>
      <c r="H48" s="2372"/>
      <c r="I48" s="2399"/>
      <c r="J48" s="2369" t="str">
        <f>I47&amp;".1"</f>
        <v>....1.1</v>
      </c>
      <c r="K48" s="1476"/>
      <c r="L48" s="1477" t="s">
        <v>499</v>
      </c>
      <c r="P48" s="2370"/>
      <c r="Q48" s="2370">
        <v>1</v>
      </c>
      <c r="R48" s="470"/>
      <c r="S48" s="1449" t="str">
        <f>$J48</f>
        <v>....1.1</v>
      </c>
      <c r="T48" s="399" t="s">
        <v>500</v>
      </c>
      <c r="U48" s="413"/>
      <c r="V48" s="2358"/>
      <c r="W48" s="2359"/>
      <c r="X48" s="2359"/>
      <c r="Y48" s="2359"/>
      <c r="Z48" s="2359"/>
      <c r="AA48" s="2359"/>
      <c r="AB48" s="2359"/>
      <c r="AC48" s="2360"/>
      <c r="AD48" s="2358"/>
      <c r="AE48" s="2359"/>
      <c r="AF48" s="2359"/>
      <c r="AG48" s="2359"/>
      <c r="AH48" s="2359"/>
      <c r="AI48" s="2359"/>
      <c r="AJ48" s="2359"/>
      <c r="AK48" s="2359"/>
      <c r="AL48" s="2360"/>
      <c r="AM48" s="1371" t="s">
        <v>501</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72"/>
      <c r="F49" s="2372"/>
      <c r="G49" s="2372"/>
      <c r="H49" s="2372"/>
      <c r="I49" s="2399"/>
      <c r="J49" s="2399"/>
      <c r="K49" s="2369" t="str">
        <f>J48&amp;".1"</f>
        <v>....1.1.1</v>
      </c>
      <c r="L49" s="1477" t="s">
        <v>502</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503</v>
      </c>
      <c r="AN49" s="624">
        <f>STRCHECKDATE(V50:AL50)</f>
      </c>
      <c r="AO49" s="613"/>
      <c r="AP49" s="613" t="str">
        <f>IF(T49="","",T49)</f>
        <v/>
      </c>
      <c r="AQ49" s="613"/>
      <c r="AR49" s="613"/>
      <c r="AS49" s="1268">
        <v>21</v>
      </c>
    </row>
    <row customHeight="1" ht="1.05">
      <c r="A50" s="1476" t="s">
        <v>192</v>
      </c>
      <c r="B50" s="1476" t="s">
        <v>193</v>
      </c>
      <c r="C50" s="1476" t="s">
        <v>194</v>
      </c>
      <c r="D50" s="1476" t="s">
        <v>195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192</v>
      </c>
      <c r="B51" s="1476" t="s">
        <v>193</v>
      </c>
      <c r="C51" s="1476" t="s">
        <v>194</v>
      </c>
      <c r="D51" s="1476" t="s">
        <v>195</v>
      </c>
      <c r="E51" s="2372"/>
      <c r="F51" s="2372"/>
      <c r="G51" s="2372"/>
      <c r="H51" s="2372"/>
      <c r="I51" s="2399"/>
      <c r="J51" s="2369"/>
      <c r="K51" s="1476"/>
      <c r="L51" s="1477"/>
      <c r="P51" s="2370"/>
      <c r="Q51" s="2370"/>
      <c r="R51" s="469"/>
      <c r="S51" s="1391"/>
      <c r="T51" s="401" t="s">
        <v>504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72"/>
      <c r="F52" s="2372"/>
      <c r="G52" s="2372"/>
      <c r="H52" s="2372"/>
      <c r="I52" s="2369"/>
      <c r="J52" s="1476"/>
      <c r="K52" s="1476"/>
      <c r="L52" s="1477"/>
      <c r="P52" s="2370"/>
      <c r="Q52" s="1444"/>
      <c r="R52" s="469"/>
      <c r="S52" s="1391"/>
      <c r="T52" s="400" t="s">
        <v>505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192</v>
      </c>
      <c r="B53" s="1476" t="s">
        <v>193</v>
      </c>
      <c r="C53" s="1476" t="s">
        <v>194</v>
      </c>
      <c r="D53" s="1476" t="s">
        <v>195</v>
      </c>
      <c r="E53" s="2372"/>
      <c r="F53" s="2372"/>
      <c r="G53" s="2372"/>
      <c r="H53" s="2371"/>
      <c r="I53" s="1476"/>
      <c r="J53" s="1476"/>
      <c r="K53" s="1476"/>
      <c r="L53" s="1477"/>
      <c r="M53" s="1478"/>
      <c r="N53" s="1478"/>
      <c r="O53" s="650"/>
      <c r="P53" s="473"/>
      <c r="Q53" s="488"/>
      <c r="R53" s="468"/>
      <c r="S53" s="1391"/>
      <c r="T53" s="478" t="s">
        <v>506</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8" customFormat="1" customHeight="1" ht="1.05">
      <c r="A54" s="1456" t="s">
        <v>192</v>
      </c>
      <c r="B54" s="1456" t="s">
        <v>193</v>
      </c>
      <c r="C54" s="1456" t="s">
        <v>194</v>
      </c>
      <c r="D54" s="1427"/>
      <c r="E54" s="2372"/>
      <c r="F54" s="2372"/>
      <c r="G54" s="2371"/>
      <c r="H54" s="1427"/>
      <c r="I54" s="1427"/>
      <c r="J54" s="1427"/>
      <c r="K54" s="1427"/>
      <c r="L54" s="1452"/>
      <c r="M54" s="1428"/>
      <c r="N54" s="1428"/>
      <c r="P54" s="1429"/>
      <c r="Q54" s="1430"/>
      <c r="R54" s="1429"/>
      <c r="S54" s="1435"/>
      <c r="T54" s="1438" t="s">
        <v>507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8" customFormat="1" customHeight="1" ht="1.05">
      <c r="A55" s="1456" t="s">
        <v>192</v>
      </c>
      <c r="B55" s="1456" t="s">
        <v>193</v>
      </c>
      <c r="C55" s="1427"/>
      <c r="D55" s="1427"/>
      <c r="E55" s="2372"/>
      <c r="F55" s="2371"/>
      <c r="G55" s="1427"/>
      <c r="H55" s="1427"/>
      <c r="I55" s="1427"/>
      <c r="J55" s="1427"/>
      <c r="K55" s="1427"/>
      <c r="L55" s="1452"/>
      <c r="M55" s="1434"/>
      <c r="N55" s="1434"/>
      <c r="P55" s="1429"/>
      <c r="Q55" s="1430"/>
      <c r="R55" s="1429"/>
      <c r="S55" s="1435"/>
      <c r="T55" s="1438" t="s">
        <v>312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8" customFormat="1" customHeight="1" ht="1.05">
      <c r="A56" s="1456" t="s">
        <v>192</v>
      </c>
      <c r="B56" s="1456"/>
      <c r="C56" s="1456"/>
      <c r="D56" s="1456"/>
      <c r="E56" s="2371"/>
      <c r="F56" s="1456"/>
      <c r="G56" s="1456"/>
      <c r="H56" s="1456"/>
      <c r="I56" s="1456"/>
      <c r="J56" s="1456"/>
      <c r="K56" s="1456"/>
      <c r="L56" s="1459"/>
      <c r="M56" s="1434"/>
      <c r="N56" s="1434"/>
      <c r="O56" s="631"/>
      <c r="P56" s="493"/>
      <c r="Q56" s="1457"/>
      <c r="R56" s="493"/>
      <c r="S56" s="1435"/>
      <c r="T56" s="1438" t="s">
        <v>360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361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EE902-BBFF-4972-B69A-9E897D3C942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7" width="10.57421875" hidden="1"/>
    <col min="2" max="2" style="5387" width="11.00390625" hidden="1" customWidth="1"/>
    <col min="3" max="3" style="5387" width="10.57421875" hidden="1"/>
    <col min="4" max="4" style="5387" width="11.8515625" hidden="1" customWidth="1"/>
    <col min="5" max="5" style="5387" width="10.00390625" hidden="1" customWidth="1"/>
    <col min="6" max="6" style="5387" width="8.7109375" hidden="1" customWidth="1"/>
    <col min="7" max="7" style="5387" width="7.57421875" hidden="1" customWidth="1"/>
    <col min="8" max="8" style="5387" width="11.421875" hidden="1" customWidth="1"/>
    <col min="9" max="9" style="5387" width="12.00390625" hidden="1" customWidth="1"/>
    <col min="10" max="10" style="5387" width="9.8515625" hidden="1" customWidth="1"/>
    <col min="11" max="11" style="5387" width="11.421875" hidden="1" customWidth="1"/>
    <col min="12" max="12" style="5465" width="19.140625" hidden="1" customWidth="1"/>
    <col min="13" max="14" style="6318" width="12.28125" hidden="1" customWidth="1"/>
    <col min="15" max="15" style="6318" width="23.421875" hidden="1" customWidth="1"/>
    <col min="16" max="16" style="6318" width="3.00390625" customWidth="1"/>
    <col min="17" max="18" style="6319" width="3.00390625" customWidth="1"/>
    <col min="19" max="19" style="6320" width="12.00390625" customWidth="1"/>
    <col min="20" max="20" style="5387" width="31.00390625" customWidth="1"/>
    <col min="21" max="21" style="5387" width="0.140625" customWidth="1"/>
    <col min="22" max="22" style="5387" width="24.7109375" hidden="1" customWidth="1"/>
    <col min="23" max="23" style="5387" width="0.140625" hidden="1" customWidth="1"/>
    <col min="24" max="25" style="5387" width="24.7109375" hidden="1" customWidth="1"/>
    <col min="26" max="26" style="5387" width="11.7109375" hidden="1" customWidth="1"/>
    <col min="27" max="27" style="5387" width="3.7109375" hidden="1" customWidth="1"/>
    <col min="28" max="28" style="5387" width="11.7109375" hidden="1" customWidth="1"/>
    <col min="29" max="29" style="5387" width="8.57421875" hidden="1" customWidth="1"/>
    <col min="30" max="30" style="5387" width="24.7109375" customWidth="1"/>
    <col min="31" max="31" style="5387" width="0.140625" customWidth="1"/>
    <col min="32" max="33" style="5387" width="24.00390625" customWidth="1"/>
    <col min="34" max="34" style="5387" width="11.00390625" customWidth="1"/>
    <col min="35" max="35" style="5387" width="3.7109375" customWidth="1"/>
    <col min="36" max="36" style="5387" width="11.00390625" customWidth="1"/>
    <col min="37" max="37" style="5387" width="8.57421875" hidden="1" customWidth="1"/>
    <col min="38" max="38" style="5387" width="4.00390625" customWidth="1"/>
    <col min="39" max="39" style="5387" width="115.00390625" customWidth="1"/>
    <col min="40" max="44" style="5468" width="10.00390625" customWidth="1"/>
    <col min="45" max="45" style="5387"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155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489</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490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491</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492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493</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494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495</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496</v>
      </c>
      <c r="M6" s="1748"/>
      <c r="P6" s="2370">
        <v>1</v>
      </c>
      <c r="Q6" s="2067"/>
      <c r="R6" s="469"/>
      <c r="S6" s="2071">
        <f>$I6</f>
      </c>
      <c r="T6" s="398" t="s">
        <v>497</v>
      </c>
      <c r="U6" s="413"/>
      <c r="V6" s="2358"/>
      <c r="W6" s="2359"/>
      <c r="X6" s="2359"/>
      <c r="Y6" s="2359"/>
      <c r="Z6" s="2359"/>
      <c r="AA6" s="2359"/>
      <c r="AB6" s="2359"/>
      <c r="AC6" s="2360"/>
      <c r="AD6" s="2358"/>
      <c r="AE6" s="2359"/>
      <c r="AF6" s="2359"/>
      <c r="AG6" s="2359"/>
      <c r="AH6" s="2359"/>
      <c r="AI6" s="2359"/>
      <c r="AJ6" s="2359"/>
      <c r="AK6" s="2359"/>
      <c r="AL6" s="2360"/>
      <c r="AM6" s="1371" t="s">
        <v>498</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499</v>
      </c>
      <c r="M7" s="1748"/>
      <c r="N7" s="1744"/>
      <c r="P7" s="2370"/>
      <c r="Q7" s="2370">
        <v>1</v>
      </c>
      <c r="R7" s="470"/>
      <c r="S7" s="2071">
        <f>$J7</f>
      </c>
      <c r="T7" s="399" t="s">
        <v>500</v>
      </c>
      <c r="U7" s="413"/>
      <c r="V7" s="2358"/>
      <c r="W7" s="2359"/>
      <c r="X7" s="2359"/>
      <c r="Y7" s="2359"/>
      <c r="Z7" s="2359"/>
      <c r="AA7" s="2359"/>
      <c r="AB7" s="2359"/>
      <c r="AC7" s="2360"/>
      <c r="AD7" s="2358"/>
      <c r="AE7" s="2359"/>
      <c r="AF7" s="2359"/>
      <c r="AG7" s="2359"/>
      <c r="AH7" s="2359"/>
      <c r="AI7" s="2359"/>
      <c r="AJ7" s="2359"/>
      <c r="AK7" s="2359"/>
      <c r="AL7" s="2360"/>
      <c r="AM7" s="1371" t="s">
        <v>501</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502</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503</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504</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505</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506</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8"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507</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8"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312</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8"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360</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67" customFormat="1" customHeight="1" ht="14.25" hidden="1">
      <c r="A20" s="1744"/>
      <c r="B20" s="1744"/>
      <c r="C20" s="1744"/>
      <c r="D20" s="1744"/>
      <c r="E20" s="1744"/>
      <c r="F20" s="1744"/>
      <c r="G20" s="1744"/>
      <c r="H20" s="1744"/>
      <c r="I20" s="1744"/>
      <c r="J20" s="1744"/>
      <c r="K20" s="1744"/>
      <c r="L20" s="2052"/>
      <c r="M20" s="2078"/>
      <c r="N20" s="2078"/>
      <c r="O20" s="1458" t="s">
        <v>508</v>
      </c>
      <c r="P20" s="1475"/>
      <c r="Q20" s="1484"/>
      <c r="R20" s="1484"/>
      <c r="S20" s="842"/>
      <c r="Z20" s="1480"/>
      <c r="AB20" s="1480"/>
      <c r="AH20" s="1480"/>
      <c r="AJ20" s="1480"/>
      <c r="AN20" s="1749"/>
      <c r="AO20" s="1749"/>
      <c r="AP20" s="1749"/>
      <c r="AQ20" s="1749"/>
      <c r="AR20" s="1749"/>
      <c r="AS20" s="1479">
        <v>0</v>
      </c>
    </row>
    <row s="546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67" customFormat="1" customHeight="1" ht="14.25" hidden="1">
      <c r="A22" s="1744"/>
      <c r="B22" s="1744"/>
      <c r="C22" s="1744"/>
      <c r="D22" s="1744"/>
      <c r="E22" s="1744"/>
      <c r="F22" s="1744"/>
      <c r="G22" s="1744"/>
      <c r="H22" s="1744"/>
      <c r="I22" s="1744"/>
      <c r="J22" s="1744"/>
      <c r="K22" s="1744"/>
      <c r="L22" s="2052"/>
      <c r="M22" s="2078"/>
      <c r="N22" s="2078"/>
      <c r="O22" s="1423" t="s">
        <v>509</v>
      </c>
      <c r="P22" s="1475"/>
      <c r="Q22" s="1484"/>
      <c r="R22" s="1484"/>
      <c r="S22" s="842"/>
      <c r="T22" s="1479" t="s">
        <v>510</v>
      </c>
      <c r="AA22" s="708" t="s">
        <v>511</v>
      </c>
      <c r="AC22" s="708" t="s">
        <v>512</v>
      </c>
      <c r="AD22" s="1479" t="s">
        <v>510</v>
      </c>
      <c r="AI22" s="708" t="s">
        <v>513</v>
      </c>
      <c r="AK22" s="708" t="s">
        <v>512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04"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04" customFormat="1" customHeight="1" ht="18.75" hidden="1">
      <c r="A30" s="1361"/>
      <c r="B30" s="1361"/>
      <c r="C30" s="1361"/>
      <c r="D30" s="1361"/>
      <c r="E30" s="1361"/>
      <c r="F30" s="1361"/>
      <c r="G30" s="1361"/>
      <c r="H30" s="1361"/>
      <c r="I30" s="1361"/>
      <c r="J30" s="1361"/>
      <c r="K30" s="1361"/>
      <c r="L30" s="1493"/>
      <c r="M30" s="1361"/>
      <c r="N30" s="1361"/>
      <c r="O30" s="1361"/>
      <c r="S30" s="2363" t="s">
        <v>514</v>
      </c>
      <c r="T30" s="2363"/>
      <c r="U30" s="1485"/>
      <c r="V30" s="2377" t="str">
        <f>IF(TITLE_DATE_PR_CHANGE="",IF(TITLE_DATE_PR="","",TITLE_DATE_PR),TITLE_DATE_PR_CHANGE)</f>
        <v>45408.605891203704</v>
      </c>
      <c r="W30" s="2377"/>
      <c r="X30" s="2377"/>
      <c r="Y30" s="2377"/>
      <c r="Z30" s="2377"/>
      <c r="AA30" s="2377"/>
      <c r="AB30" s="2377"/>
      <c r="AC30" s="1748"/>
      <c r="AD30" s="2377" t="str">
        <f>IF(TITLE_DATE_PR_CHANGE="",IF(TITLE_DATE_PR="","",TITLE_DATE_PR),TITLE_DATE_PR_CHANGE)</f>
        <v>45408.605891203704</v>
      </c>
      <c r="AE30" s="2377"/>
      <c r="AF30" s="2377"/>
      <c r="AG30" s="2377"/>
      <c r="AH30" s="2377"/>
      <c r="AI30" s="2377"/>
      <c r="AJ30" s="2377"/>
      <c r="AK30" s="1748"/>
      <c r="AL30" s="1748"/>
      <c r="AM30" s="393"/>
      <c r="AN30" s="481"/>
      <c r="AO30" s="481"/>
      <c r="AP30" s="481"/>
      <c r="AQ30" s="481"/>
      <c r="AR30" s="481"/>
      <c r="AS30" s="531">
        <v>0</v>
      </c>
    </row>
    <row s="5604" customFormat="1" customHeight="1" ht="18.75" hidden="1">
      <c r="A31" s="1361"/>
      <c r="B31" s="1361"/>
      <c r="C31" s="1361"/>
      <c r="D31" s="1361"/>
      <c r="E31" s="1361"/>
      <c r="F31" s="1361"/>
      <c r="G31" s="1361"/>
      <c r="H31" s="1361"/>
      <c r="I31" s="1361"/>
      <c r="J31" s="1361"/>
      <c r="K31" s="1361"/>
      <c r="L31" s="1493"/>
      <c r="M31" s="1361"/>
      <c r="N31" s="1361"/>
      <c r="O31" s="1361"/>
      <c r="S31" s="2363" t="s">
        <v>515</v>
      </c>
      <c r="T31" s="2363"/>
      <c r="U31" s="1485"/>
      <c r="V31" s="2364" t="str">
        <f>IF(TITLE_NUMBER_PR_CHANGE="",IF(TITLE_NUMBER_PR="","",TITLE_NUMBER_PR),TITLE_NUMBER_PR_CHANGE)</f>
        <v>27-2139</v>
      </c>
      <c r="W31" s="2364"/>
      <c r="X31" s="2364"/>
      <c r="Y31" s="2364"/>
      <c r="Z31" s="2364"/>
      <c r="AA31" s="2364"/>
      <c r="AB31" s="2364"/>
      <c r="AC31" s="1748"/>
      <c r="AD31" s="2364" t="str">
        <f>IF(TITLE_NUMBER_PR_CHANGE="",IF(TITLE_NUMBER_PR="","",TITLE_NUMBER_PR),TITLE_NUMBER_PR_CHANGE)</f>
        <v>27-2139</v>
      </c>
      <c r="AE31" s="2364"/>
      <c r="AF31" s="2364"/>
      <c r="AG31" s="2364"/>
      <c r="AH31" s="2364"/>
      <c r="AI31" s="2364"/>
      <c r="AJ31" s="2364"/>
      <c r="AK31" s="1748"/>
      <c r="AL31" s="1748"/>
      <c r="AM31" s="393"/>
      <c r="AN31" s="481"/>
      <c r="AO31" s="481"/>
      <c r="AP31" s="481"/>
      <c r="AQ31" s="481"/>
      <c r="AR31" s="481"/>
      <c r="AS31" s="531">
        <v>0</v>
      </c>
    </row>
    <row s="5604"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04" customFormat="1" customHeight="1" ht="18.75" hidden="1">
      <c r="A34" s="1361"/>
      <c r="B34" s="1361"/>
      <c r="C34" s="1361"/>
      <c r="D34" s="1361"/>
      <c r="E34" s="1361"/>
      <c r="F34" s="1361"/>
      <c r="G34" s="1361"/>
      <c r="H34" s="1361"/>
      <c r="I34" s="1361"/>
      <c r="J34" s="1361"/>
      <c r="K34" s="1361"/>
      <c r="L34" s="1493"/>
      <c r="M34" s="1361"/>
      <c r="N34" s="1361"/>
      <c r="O34" s="1361"/>
      <c r="S34" s="2363" t="s">
        <v>516</v>
      </c>
      <c r="T34" s="2363"/>
      <c r="U34" s="1485"/>
      <c r="V34" s="2377" t="str">
        <f>IF(TITLE_DATE_PR_CHANGE="",IF(TITLE_DATE_PR="","",TITLE_DATE_PR),TITLE_DATE_PR_CHANGE)</f>
        <v>45408.605891203704</v>
      </c>
      <c r="W34" s="2377"/>
      <c r="X34" s="2377"/>
      <c r="Y34" s="2377"/>
      <c r="Z34" s="2377"/>
      <c r="AA34" s="2377"/>
      <c r="AB34" s="2377"/>
      <c r="AC34" s="1748"/>
      <c r="AD34" s="2377" t="str">
        <f>IF(TITLE_DATE_PR_CHANGE="",IF(TITLE_DATE_PR="","",TITLE_DATE_PR),TITLE_DATE_PR_CHANGE)</f>
        <v>45408.605891203704</v>
      </c>
      <c r="AE34" s="2377"/>
      <c r="AF34" s="2377"/>
      <c r="AG34" s="2377"/>
      <c r="AH34" s="2377"/>
      <c r="AI34" s="2377"/>
      <c r="AJ34" s="2377"/>
      <c r="AK34" s="1748"/>
      <c r="AL34" s="1748"/>
      <c r="AM34" s="393"/>
      <c r="AN34" s="481"/>
      <c r="AO34" s="481"/>
      <c r="AP34" s="481"/>
      <c r="AQ34" s="481"/>
      <c r="AR34" s="481"/>
      <c r="AS34" s="531">
        <v>0</v>
      </c>
    </row>
    <row s="5604" customFormat="1" customHeight="1" ht="18.75" hidden="1">
      <c r="A35" s="1361"/>
      <c r="B35" s="1361"/>
      <c r="C35" s="1361"/>
      <c r="D35" s="1361"/>
      <c r="E35" s="1361"/>
      <c r="F35" s="1361"/>
      <c r="G35" s="1361"/>
      <c r="H35" s="1361"/>
      <c r="I35" s="1361"/>
      <c r="J35" s="1361"/>
      <c r="K35" s="1361"/>
      <c r="L35" s="1493"/>
      <c r="M35" s="1361"/>
      <c r="N35" s="1361"/>
      <c r="O35" s="1361"/>
      <c r="S35" s="2363" t="s">
        <v>517</v>
      </c>
      <c r="T35" s="2363"/>
      <c r="U35" s="1485"/>
      <c r="V35" s="2364" t="str">
        <f>IF(TITLE_NUMBER_PR_CHANGE="",IF(TITLE_NUMBER_PR="","",TITLE_NUMBER_PR),TITLE_NUMBER_PR_CHANGE)</f>
        <v>27-2139</v>
      </c>
      <c r="W35" s="2364"/>
      <c r="X35" s="2364"/>
      <c r="Y35" s="2364"/>
      <c r="Z35" s="2364"/>
      <c r="AA35" s="2364"/>
      <c r="AB35" s="2364"/>
      <c r="AC35" s="1748"/>
      <c r="AD35" s="2364" t="str">
        <f>IF(TITLE_NUMBER_PR_CHANGE="",IF(TITLE_NUMBER_PR="","",TITLE_NUMBER_PR),TITLE_NUMBER_PR_CHANGE)</f>
        <v>27-2139</v>
      </c>
      <c r="AE35" s="2364"/>
      <c r="AF35" s="2364"/>
      <c r="AG35" s="2364"/>
      <c r="AH35" s="2364"/>
      <c r="AI35" s="2364"/>
      <c r="AJ35" s="2364"/>
      <c r="AK35" s="1748"/>
      <c r="AL35" s="1748"/>
      <c r="AM35" s="393"/>
      <c r="AN35" s="481"/>
      <c r="AO35" s="481"/>
      <c r="AP35" s="481"/>
      <c r="AQ35" s="481"/>
      <c r="AR35" s="481"/>
      <c r="AS35" s="531">
        <v>0</v>
      </c>
    </row>
    <row s="560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518</v>
      </c>
      <c r="AD36" s="1748"/>
      <c r="AE36" s="1748"/>
      <c r="AF36" s="1748"/>
      <c r="AG36" s="1748"/>
      <c r="AH36" s="1748"/>
      <c r="AI36" s="1748"/>
      <c r="AJ36" s="1748"/>
      <c r="AK36" s="1755" t="s">
        <v>518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393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394</v>
      </c>
      <c r="AS38" s="1744">
        <v>14</v>
      </c>
    </row>
    <row customHeight="1" ht="14.699999999999998">
      <c r="Q39" s="489"/>
      <c r="R39" s="489"/>
      <c r="S39" s="2386" t="s">
        <v>88</v>
      </c>
      <c r="T39" s="2322" t="s">
        <v>519</v>
      </c>
      <c r="U39" s="450"/>
      <c r="V39" s="2387" t="s">
        <v>520</v>
      </c>
      <c r="W39" s="2388"/>
      <c r="X39" s="2388"/>
      <c r="Y39" s="2388"/>
      <c r="Z39" s="2388"/>
      <c r="AA39" s="2388"/>
      <c r="AB39" s="2389"/>
      <c r="AC39" s="2390" t="s">
        <v>521</v>
      </c>
      <c r="AD39" s="2387" t="s">
        <v>520</v>
      </c>
      <c r="AE39" s="2388"/>
      <c r="AF39" s="2388"/>
      <c r="AG39" s="2388"/>
      <c r="AH39" s="2388"/>
      <c r="AI39" s="2388"/>
      <c r="AJ39" s="2389"/>
      <c r="AK39" s="2390" t="s">
        <v>522</v>
      </c>
      <c r="AL39" s="2393" t="s">
        <v>523</v>
      </c>
      <c r="AM39" s="2240"/>
      <c r="AS39" s="1744">
        <v>14</v>
      </c>
    </row>
    <row customHeight="1" ht="35.699999999999996">
      <c r="Q40" s="489"/>
      <c r="R40" s="489"/>
      <c r="S40" s="2386"/>
      <c r="T40" s="2322"/>
      <c r="U40" s="1144"/>
      <c r="V40" s="2373" t="s">
        <v>524</v>
      </c>
      <c r="W40" s="2396" t="s">
        <v>525</v>
      </c>
      <c r="X40" s="2375" t="s">
        <v>526</v>
      </c>
      <c r="Y40" s="2376"/>
      <c r="Z40" s="2375" t="s">
        <v>539</v>
      </c>
      <c r="AA40" s="2382"/>
      <c r="AB40" s="2376"/>
      <c r="AC40" s="2391"/>
      <c r="AD40" s="2373" t="s">
        <v>524</v>
      </c>
      <c r="AE40" s="2396" t="s">
        <v>525</v>
      </c>
      <c r="AF40" s="2375" t="s">
        <v>526</v>
      </c>
      <c r="AG40" s="2376"/>
      <c r="AH40" s="2375" t="s">
        <v>527</v>
      </c>
      <c r="AI40" s="2382"/>
      <c r="AJ40" s="2376"/>
      <c r="AK40" s="2391"/>
      <c r="AL40" s="2394"/>
      <c r="AM40" s="2240"/>
      <c r="AS40" s="1744">
        <v>34</v>
      </c>
    </row>
    <row customHeight="1" ht="35.699999999999996">
      <c r="A41" s="1379"/>
      <c r="B41" s="1379" t="s">
        <v>167</v>
      </c>
      <c r="C41" s="1379" t="s">
        <v>168</v>
      </c>
      <c r="D41" s="1379" t="s">
        <v>169</v>
      </c>
      <c r="E41" s="1423" t="s">
        <v>528</v>
      </c>
      <c r="F41" s="1423" t="s">
        <v>529</v>
      </c>
      <c r="G41" s="1423" t="s">
        <v>530</v>
      </c>
      <c r="H41" s="1423" t="s">
        <v>531</v>
      </c>
      <c r="I41" s="1423" t="s">
        <v>532</v>
      </c>
      <c r="J41" s="1423" t="s">
        <v>533</v>
      </c>
      <c r="K41" s="1423" t="s">
        <v>534</v>
      </c>
      <c r="L41" s="1423" t="s">
        <v>509</v>
      </c>
      <c r="Q41" s="489"/>
      <c r="R41" s="489"/>
      <c r="S41" s="2386"/>
      <c r="T41" s="2322"/>
      <c r="U41" s="415"/>
      <c r="V41" s="2374"/>
      <c r="W41" s="2397"/>
      <c r="X41" s="2051" t="s">
        <v>535</v>
      </c>
      <c r="Y41" s="2051" t="s">
        <v>536</v>
      </c>
      <c r="Z41" s="2051" t="s">
        <v>537</v>
      </c>
      <c r="AA41" s="2383" t="s">
        <v>538</v>
      </c>
      <c r="AB41" s="2384"/>
      <c r="AC41" s="2392"/>
      <c r="AD41" s="2374"/>
      <c r="AE41" s="2397"/>
      <c r="AF41" s="2051" t="s">
        <v>535</v>
      </c>
      <c r="AG41" s="2051" t="s">
        <v>536</v>
      </c>
      <c r="AH41" s="2051" t="s">
        <v>537</v>
      </c>
      <c r="AI41" s="2383" t="s">
        <v>538</v>
      </c>
      <c r="AJ41" s="2384"/>
      <c r="AK41" s="2392"/>
      <c r="AL41" s="2395"/>
      <c r="AM41" s="2240"/>
      <c r="AS41" s="1744">
        <v>34</v>
      </c>
    </row>
    <row s="6074"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136</v>
      </c>
      <c r="T42" s="1368" t="s">
        <v>103</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241</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155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241</v>
      </c>
      <c r="B44" s="1380" t="s">
        <v>242</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490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491</v>
      </c>
      <c r="AO44" s="1737"/>
      <c r="AP44" s="1737" t="str">
        <f>IF(T44="","",T44)</f>
        <v>Территория действия тарифа</v>
      </c>
      <c r="AQ44" s="1737"/>
      <c r="AR44" s="1737"/>
      <c r="AS44" s="1744">
        <v>21</v>
      </c>
    </row>
    <row customHeight="1" ht="24">
      <c r="A45" s="1380" t="s">
        <v>241</v>
      </c>
      <c r="B45" s="1380" t="s">
        <v>242</v>
      </c>
      <c r="C45" s="1380" t="s">
        <v>243</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492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493</v>
      </c>
      <c r="AO45" s="1737"/>
      <c r="AP45" s="1737" t="str">
        <f>IF(T45="","",T45)</f>
        <v>Наименование системы теплоснабжения </v>
      </c>
      <c r="AQ45" s="1737"/>
      <c r="AR45" s="1737"/>
      <c r="AS45" s="1744">
        <v>23</v>
      </c>
    </row>
    <row customHeight="1" ht="22.049999999999997">
      <c r="A46" s="1380" t="s">
        <v>241</v>
      </c>
      <c r="B46" s="1380" t="s">
        <v>242</v>
      </c>
      <c r="C46" s="1380" t="s">
        <v>243</v>
      </c>
      <c r="D46" s="1380" t="s">
        <v>244</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494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495</v>
      </c>
      <c r="AO46" s="1737"/>
      <c r="AP46" s="1737" t="str">
        <f>IF(T46="","",T46)</f>
        <v>Источник тепловой энергии  </v>
      </c>
      <c r="AQ46" s="1737"/>
      <c r="AR46" s="1737"/>
      <c r="AS46" s="1744">
        <v>21</v>
      </c>
    </row>
    <row customHeight="1" ht="49.5">
      <c r="A47" s="1380" t="s">
        <v>241</v>
      </c>
      <c r="B47" s="1380" t="s">
        <v>242</v>
      </c>
      <c r="C47" s="1380" t="s">
        <v>243</v>
      </c>
      <c r="D47" s="1380" t="s">
        <v>244</v>
      </c>
      <c r="E47" s="2403"/>
      <c r="F47" s="2403"/>
      <c r="G47" s="2403"/>
      <c r="H47" s="2403"/>
      <c r="I47" s="2240" t="str">
        <f>S46&amp;".1"</f>
        <v>....1</v>
      </c>
      <c r="J47" s="1380"/>
      <c r="K47" s="1380"/>
      <c r="L47" s="1423" t="s">
        <v>496</v>
      </c>
      <c r="P47" s="2370">
        <v>1</v>
      </c>
      <c r="Q47" s="2067"/>
      <c r="R47" s="469"/>
      <c r="S47" s="2071" t="str">
        <f>$I47</f>
        <v>....1</v>
      </c>
      <c r="T47" s="398" t="s">
        <v>497</v>
      </c>
      <c r="U47" s="413"/>
      <c r="V47" s="2358"/>
      <c r="W47" s="2359"/>
      <c r="X47" s="2359"/>
      <c r="Y47" s="2359"/>
      <c r="Z47" s="2359"/>
      <c r="AA47" s="2359"/>
      <c r="AB47" s="2359"/>
      <c r="AC47" s="2360"/>
      <c r="AD47" s="2358"/>
      <c r="AE47" s="2359"/>
      <c r="AF47" s="2359"/>
      <c r="AG47" s="2359"/>
      <c r="AH47" s="2359"/>
      <c r="AI47" s="2359"/>
      <c r="AJ47" s="2359"/>
      <c r="AK47" s="2359"/>
      <c r="AL47" s="2360"/>
      <c r="AM47" s="1371" t="s">
        <v>498</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241</v>
      </c>
      <c r="B48" s="1380" t="s">
        <v>242</v>
      </c>
      <c r="C48" s="1380" t="s">
        <v>243</v>
      </c>
      <c r="D48" s="1380" t="s">
        <v>244</v>
      </c>
      <c r="E48" s="2403"/>
      <c r="F48" s="2403"/>
      <c r="G48" s="2403"/>
      <c r="H48" s="2403"/>
      <c r="I48" s="2214"/>
      <c r="J48" s="2240" t="str">
        <f>I47&amp;".1"</f>
        <v>....1.1</v>
      </c>
      <c r="K48" s="1380"/>
      <c r="L48" s="1423" t="s">
        <v>499</v>
      </c>
      <c r="P48" s="2370"/>
      <c r="Q48" s="2370">
        <v>1</v>
      </c>
      <c r="R48" s="470"/>
      <c r="S48" s="2071" t="str">
        <f>$J48</f>
        <v>....1.1</v>
      </c>
      <c r="T48" s="399" t="s">
        <v>500</v>
      </c>
      <c r="U48" s="413"/>
      <c r="V48" s="2358"/>
      <c r="W48" s="2359"/>
      <c r="X48" s="2359"/>
      <c r="Y48" s="2359"/>
      <c r="Z48" s="2359"/>
      <c r="AA48" s="2359"/>
      <c r="AB48" s="2359"/>
      <c r="AC48" s="2360"/>
      <c r="AD48" s="2358"/>
      <c r="AE48" s="2359"/>
      <c r="AF48" s="2359"/>
      <c r="AG48" s="2359"/>
      <c r="AH48" s="2359"/>
      <c r="AI48" s="2359"/>
      <c r="AJ48" s="2359"/>
      <c r="AK48" s="2359"/>
      <c r="AL48" s="2360"/>
      <c r="AM48" s="1371" t="s">
        <v>501</v>
      </c>
      <c r="AO48" s="1737"/>
      <c r="AP48" s="1737" t="str">
        <f>IF(T48="","",T48)</f>
        <v>Группа потребителей</v>
      </c>
      <c r="AQ48" s="1737"/>
      <c r="AR48" s="1737"/>
      <c r="AS48" s="1744">
        <v>21</v>
      </c>
    </row>
    <row customHeight="1" ht="22.049999999999997">
      <c r="A49" s="1380" t="s">
        <v>241</v>
      </c>
      <c r="B49" s="1380" t="s">
        <v>242</v>
      </c>
      <c r="C49" s="1380" t="s">
        <v>243</v>
      </c>
      <c r="D49" s="1380" t="s">
        <v>244</v>
      </c>
      <c r="E49" s="2403"/>
      <c r="F49" s="2403"/>
      <c r="G49" s="2403"/>
      <c r="H49" s="2403"/>
      <c r="I49" s="2214"/>
      <c r="J49" s="2214"/>
      <c r="K49" s="2240" t="str">
        <f>J48&amp;".1"</f>
        <v>....1.1.1</v>
      </c>
      <c r="L49" s="1423" t="s">
        <v>502</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503</v>
      </c>
      <c r="AN49" s="1749">
        <f>STRCHECKDATE(V50:AL50)</f>
      </c>
      <c r="AO49" s="1737"/>
      <c r="AP49" s="1737" t="str">
        <f>IF(T49="","",T49)</f>
        <v/>
      </c>
      <c r="AQ49" s="1737"/>
      <c r="AR49" s="1737"/>
      <c r="AS49" s="1744">
        <v>21</v>
      </c>
    </row>
    <row customHeight="1" ht="1.05">
      <c r="A50" s="1380" t="s">
        <v>241</v>
      </c>
      <c r="B50" s="1380" t="s">
        <v>242</v>
      </c>
      <c r="C50" s="1380" t="s">
        <v>243</v>
      </c>
      <c r="D50" s="1380" t="s">
        <v>244</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241</v>
      </c>
      <c r="B51" s="1380" t="s">
        <v>242</v>
      </c>
      <c r="C51" s="1380" t="s">
        <v>243</v>
      </c>
      <c r="D51" s="1380" t="s">
        <v>244</v>
      </c>
      <c r="E51" s="2403"/>
      <c r="F51" s="2403"/>
      <c r="G51" s="2403"/>
      <c r="H51" s="2403"/>
      <c r="I51" s="2214"/>
      <c r="J51" s="2240"/>
      <c r="K51" s="1380"/>
      <c r="L51" s="1423"/>
      <c r="P51" s="2370"/>
      <c r="Q51" s="2370"/>
      <c r="R51" s="469"/>
      <c r="S51" s="1391"/>
      <c r="T51" s="401" t="s">
        <v>504</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241</v>
      </c>
      <c r="B52" s="1380" t="s">
        <v>242</v>
      </c>
      <c r="C52" s="1380" t="s">
        <v>243</v>
      </c>
      <c r="D52" s="1380" t="s">
        <v>244</v>
      </c>
      <c r="E52" s="2403"/>
      <c r="F52" s="2403"/>
      <c r="G52" s="2403"/>
      <c r="H52" s="2403"/>
      <c r="I52" s="2240"/>
      <c r="J52" s="1380"/>
      <c r="K52" s="1380"/>
      <c r="L52" s="1423"/>
      <c r="P52" s="2370"/>
      <c r="Q52" s="2067"/>
      <c r="R52" s="469"/>
      <c r="S52" s="1391"/>
      <c r="T52" s="400" t="s">
        <v>505</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241</v>
      </c>
      <c r="B53" s="1380" t="s">
        <v>242</v>
      </c>
      <c r="C53" s="1380" t="s">
        <v>243</v>
      </c>
      <c r="D53" s="1380" t="s">
        <v>244</v>
      </c>
      <c r="E53" s="2403"/>
      <c r="F53" s="2403"/>
      <c r="G53" s="2403"/>
      <c r="H53" s="2402"/>
      <c r="I53" s="1380"/>
      <c r="J53" s="1380"/>
      <c r="K53" s="1380"/>
      <c r="L53" s="1423"/>
      <c r="M53" s="1723"/>
      <c r="N53" s="1723"/>
      <c r="O53" s="1748"/>
      <c r="P53" s="473"/>
      <c r="Q53" s="488"/>
      <c r="R53" s="468"/>
      <c r="S53" s="1391"/>
      <c r="T53" s="478" t="s">
        <v>506</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8" customFormat="1" customHeight="1" ht="4.2">
      <c r="A54" s="1488" t="s">
        <v>241</v>
      </c>
      <c r="B54" s="1488" t="s">
        <v>242</v>
      </c>
      <c r="C54" s="1488" t="s">
        <v>243</v>
      </c>
      <c r="D54" s="1487"/>
      <c r="E54" s="2403"/>
      <c r="F54" s="2403"/>
      <c r="G54" s="2402"/>
      <c r="H54" s="1487"/>
      <c r="I54" s="1487"/>
      <c r="J54" s="1487"/>
      <c r="K54" s="1487"/>
      <c r="L54" s="1490"/>
      <c r="M54" s="1491"/>
      <c r="N54" s="1491"/>
      <c r="O54" s="464"/>
      <c r="P54" s="1429"/>
      <c r="Q54" s="1430"/>
      <c r="R54" s="1429"/>
      <c r="S54" s="1435"/>
      <c r="T54" s="1438" t="s">
        <v>507</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68" customFormat="1" customHeight="1" ht="4.2">
      <c r="A55" s="1488" t="s">
        <v>241</v>
      </c>
      <c r="B55" s="1488" t="s">
        <v>242</v>
      </c>
      <c r="C55" s="1487"/>
      <c r="D55" s="1487"/>
      <c r="E55" s="2403"/>
      <c r="F55" s="2402"/>
      <c r="G55" s="1487"/>
      <c r="H55" s="1487"/>
      <c r="I55" s="1487"/>
      <c r="J55" s="1487"/>
      <c r="K55" s="1487"/>
      <c r="L55" s="1490"/>
      <c r="M55" s="1492"/>
      <c r="N55" s="1492"/>
      <c r="O55" s="464"/>
      <c r="P55" s="1429"/>
      <c r="Q55" s="1430"/>
      <c r="R55" s="1429"/>
      <c r="S55" s="1435"/>
      <c r="T55" s="1438" t="s">
        <v>312</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68" customFormat="1" customHeight="1" ht="4.2">
      <c r="A56" s="1488" t="s">
        <v>241</v>
      </c>
      <c r="B56" s="1488"/>
      <c r="C56" s="1488"/>
      <c r="D56" s="1488"/>
      <c r="E56" s="2402"/>
      <c r="F56" s="1488"/>
      <c r="G56" s="1488"/>
      <c r="H56" s="1488"/>
      <c r="I56" s="1488"/>
      <c r="J56" s="1488"/>
      <c r="K56" s="1488"/>
      <c r="L56" s="1494"/>
      <c r="M56" s="1492"/>
      <c r="N56" s="1492"/>
      <c r="O56" s="464"/>
      <c r="P56" s="493"/>
      <c r="Q56" s="1457"/>
      <c r="R56" s="493"/>
      <c r="S56" s="1435"/>
      <c r="T56" s="1438" t="s">
        <v>360</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68"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361</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125AA-4E1D-D282-11B8-1266AB61025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7" width="10.57421875" hidden="1"/>
    <col min="2" max="2" style="5387" width="11.00390625" hidden="1" customWidth="1"/>
    <col min="3" max="3" style="5387" width="10.57421875" hidden="1"/>
    <col min="4" max="4" style="5387" width="11.8515625" hidden="1" customWidth="1"/>
    <col min="5" max="5" style="5387" width="10.00390625" hidden="1" customWidth="1"/>
    <col min="6" max="6" style="5387" width="8.7109375" hidden="1" customWidth="1"/>
    <col min="7" max="7" style="5387" width="7.57421875" hidden="1" customWidth="1"/>
    <col min="8" max="8" style="5387" width="11.421875" hidden="1" customWidth="1"/>
    <col min="9" max="9" style="5387" width="12.00390625" hidden="1" customWidth="1"/>
    <col min="10" max="10" style="5387" width="9.8515625" hidden="1" customWidth="1"/>
    <col min="11" max="11" style="5387" width="11.421875" hidden="1" customWidth="1"/>
    <col min="12" max="12" style="5465" width="19.140625" hidden="1" customWidth="1"/>
    <col min="13" max="14" style="6318" width="12.28125" hidden="1" customWidth="1"/>
    <col min="15" max="15" style="6318" width="23.421875" hidden="1" customWidth="1"/>
    <col min="16" max="16" style="6318" width="3.00390625" customWidth="1"/>
    <col min="17" max="18" style="6319" width="3.00390625" customWidth="1"/>
    <col min="19" max="19" style="6320" width="12.00390625" customWidth="1"/>
    <col min="20" max="20" style="5387" width="31.00390625" customWidth="1"/>
    <col min="21" max="21" style="5387" width="0.140625" customWidth="1"/>
    <col min="22" max="22" style="5387" width="24.7109375" hidden="1" customWidth="1"/>
    <col min="23" max="23" style="5387" width="0.140625" hidden="1" customWidth="1"/>
    <col min="24" max="25" style="5387" width="24.7109375" hidden="1" customWidth="1"/>
    <col min="26" max="26" style="5387" width="11.7109375" hidden="1" customWidth="1"/>
    <col min="27" max="27" style="5387" width="3.7109375" hidden="1" customWidth="1"/>
    <col min="28" max="28" style="5387" width="11.7109375" hidden="1" customWidth="1"/>
    <col min="29" max="29" style="5387" width="8.57421875" hidden="1" customWidth="1"/>
    <col min="30" max="30" style="5387" width="24.7109375" customWidth="1"/>
    <col min="31" max="31" style="5387" width="0.140625" customWidth="1"/>
    <col min="32" max="33" style="5387" width="24.00390625" customWidth="1"/>
    <col min="34" max="34" style="5387" width="11.00390625" customWidth="1"/>
    <col min="35" max="35" style="5387" width="3.7109375" customWidth="1"/>
    <col min="36" max="36" style="5387" width="11.00390625" customWidth="1"/>
    <col min="37" max="37" style="5387" width="8.57421875" hidden="1" customWidth="1"/>
    <col min="38" max="38" style="5387" width="4.00390625" customWidth="1"/>
    <col min="39" max="39" style="5387" width="115.00390625" customWidth="1"/>
    <col min="40" max="44" style="5468" width="10.00390625" customWidth="1"/>
    <col min="45" max="45" style="5387"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155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489</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490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491</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492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493</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494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495</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496</v>
      </c>
      <c r="M6" s="1748"/>
      <c r="P6" s="2370">
        <v>1</v>
      </c>
      <c r="Q6" s="2067"/>
      <c r="R6" s="469"/>
      <c r="S6" s="2071">
        <f>$I6</f>
      </c>
      <c r="T6" s="398" t="s">
        <v>497</v>
      </c>
      <c r="U6" s="413"/>
      <c r="V6" s="2358"/>
      <c r="W6" s="2359"/>
      <c r="X6" s="2359"/>
      <c r="Y6" s="2359"/>
      <c r="Z6" s="2359"/>
      <c r="AA6" s="2359"/>
      <c r="AB6" s="2359"/>
      <c r="AC6" s="2360"/>
      <c r="AD6" s="2358"/>
      <c r="AE6" s="2359"/>
      <c r="AF6" s="2359"/>
      <c r="AG6" s="2359"/>
      <c r="AH6" s="2359"/>
      <c r="AI6" s="2359"/>
      <c r="AJ6" s="2359"/>
      <c r="AK6" s="2359"/>
      <c r="AL6" s="2360"/>
      <c r="AM6" s="1371" t="s">
        <v>498</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499</v>
      </c>
      <c r="M7" s="1748"/>
      <c r="N7" s="1744"/>
      <c r="P7" s="2370"/>
      <c r="Q7" s="2370">
        <v>1</v>
      </c>
      <c r="R7" s="470"/>
      <c r="S7" s="2071">
        <f>$J7</f>
      </c>
      <c r="T7" s="399" t="s">
        <v>500</v>
      </c>
      <c r="U7" s="413"/>
      <c r="V7" s="2358"/>
      <c r="W7" s="2359"/>
      <c r="X7" s="2359"/>
      <c r="Y7" s="2359"/>
      <c r="Z7" s="2359"/>
      <c r="AA7" s="2359"/>
      <c r="AB7" s="2359"/>
      <c r="AC7" s="2360"/>
      <c r="AD7" s="2358"/>
      <c r="AE7" s="2359"/>
      <c r="AF7" s="2359"/>
      <c r="AG7" s="2359"/>
      <c r="AH7" s="2359"/>
      <c r="AI7" s="2359"/>
      <c r="AJ7" s="2359"/>
      <c r="AK7" s="2359"/>
      <c r="AL7" s="2360"/>
      <c r="AM7" s="1371" t="s">
        <v>501</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502</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503</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504</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505</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506</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8"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507</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8"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312</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8"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360</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67" customFormat="1" customHeight="1" ht="14.25" hidden="1">
      <c r="A20" s="1744"/>
      <c r="B20" s="1744"/>
      <c r="C20" s="1744"/>
      <c r="D20" s="1744"/>
      <c r="E20" s="1744"/>
      <c r="F20" s="1744"/>
      <c r="G20" s="1744"/>
      <c r="H20" s="1744"/>
      <c r="I20" s="1744"/>
      <c r="J20" s="1744"/>
      <c r="K20" s="1744"/>
      <c r="L20" s="2052"/>
      <c r="M20" s="2078"/>
      <c r="N20" s="2078"/>
      <c r="O20" s="1458" t="s">
        <v>508</v>
      </c>
      <c r="P20" s="1475"/>
      <c r="Q20" s="1484"/>
      <c r="R20" s="1484"/>
      <c r="S20" s="842"/>
      <c r="Z20" s="1480"/>
      <c r="AB20" s="1480"/>
      <c r="AH20" s="1480"/>
      <c r="AJ20" s="1480"/>
      <c r="AN20" s="1749"/>
      <c r="AO20" s="1749"/>
      <c r="AP20" s="1749"/>
      <c r="AQ20" s="1749"/>
      <c r="AR20" s="1749"/>
      <c r="AS20" s="1479">
        <v>0</v>
      </c>
    </row>
    <row s="546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67" customFormat="1" customHeight="1" ht="14.25" hidden="1">
      <c r="A22" s="1744"/>
      <c r="B22" s="1744"/>
      <c r="C22" s="1744"/>
      <c r="D22" s="1744"/>
      <c r="E22" s="1744"/>
      <c r="F22" s="1744"/>
      <c r="G22" s="1744"/>
      <c r="H22" s="1744"/>
      <c r="I22" s="1744"/>
      <c r="J22" s="1744"/>
      <c r="K22" s="1744"/>
      <c r="L22" s="2052"/>
      <c r="M22" s="2078"/>
      <c r="N22" s="2078"/>
      <c r="O22" s="1423" t="s">
        <v>509</v>
      </c>
      <c r="P22" s="1475"/>
      <c r="Q22" s="1484"/>
      <c r="R22" s="1484"/>
      <c r="S22" s="842"/>
      <c r="T22" s="1479" t="s">
        <v>510</v>
      </c>
      <c r="AA22" s="708" t="s">
        <v>511</v>
      </c>
      <c r="AC22" s="708" t="s">
        <v>512</v>
      </c>
      <c r="AD22" s="1479" t="s">
        <v>510</v>
      </c>
      <c r="AI22" s="708" t="s">
        <v>513</v>
      </c>
      <c r="AK22" s="708" t="s">
        <v>512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04"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04" customFormat="1" customHeight="1" ht="18.75" hidden="1">
      <c r="A30" s="1361"/>
      <c r="B30" s="1361"/>
      <c r="C30" s="1361"/>
      <c r="D30" s="1361"/>
      <c r="E30" s="1361"/>
      <c r="F30" s="1361"/>
      <c r="G30" s="1361"/>
      <c r="H30" s="1361"/>
      <c r="I30" s="1361"/>
      <c r="J30" s="1361"/>
      <c r="K30" s="1361"/>
      <c r="L30" s="1493"/>
      <c r="M30" s="1361"/>
      <c r="N30" s="1361"/>
      <c r="O30" s="1361"/>
      <c r="S30" s="2363" t="s">
        <v>514</v>
      </c>
      <c r="T30" s="2363"/>
      <c r="U30" s="1485"/>
      <c r="V30" s="2377" t="str">
        <f>IF(TITLE_DATE_PR_CHANGE="",IF(TITLE_DATE_PR="","",TITLE_DATE_PR),TITLE_DATE_PR_CHANGE)</f>
        <v>45408.605891203704</v>
      </c>
      <c r="W30" s="2377"/>
      <c r="X30" s="2377"/>
      <c r="Y30" s="2377"/>
      <c r="Z30" s="2377"/>
      <c r="AA30" s="2377"/>
      <c r="AB30" s="2377"/>
      <c r="AC30" s="1748"/>
      <c r="AD30" s="2377" t="str">
        <f>IF(TITLE_DATE_PR_CHANGE="",IF(TITLE_DATE_PR="","",TITLE_DATE_PR),TITLE_DATE_PR_CHANGE)</f>
        <v>45408.605891203704</v>
      </c>
      <c r="AE30" s="2377"/>
      <c r="AF30" s="2377"/>
      <c r="AG30" s="2377"/>
      <c r="AH30" s="2377"/>
      <c r="AI30" s="2377"/>
      <c r="AJ30" s="2377"/>
      <c r="AK30" s="1748"/>
      <c r="AL30" s="1748"/>
      <c r="AM30" s="393"/>
      <c r="AN30" s="481"/>
      <c r="AO30" s="481"/>
      <c r="AP30" s="481"/>
      <c r="AQ30" s="481"/>
      <c r="AR30" s="481"/>
      <c r="AS30" s="531">
        <v>0</v>
      </c>
    </row>
    <row s="5604" customFormat="1" customHeight="1" ht="18.75" hidden="1">
      <c r="A31" s="1361"/>
      <c r="B31" s="1361"/>
      <c r="C31" s="1361"/>
      <c r="D31" s="1361"/>
      <c r="E31" s="1361"/>
      <c r="F31" s="1361"/>
      <c r="G31" s="1361"/>
      <c r="H31" s="1361"/>
      <c r="I31" s="1361"/>
      <c r="J31" s="1361"/>
      <c r="K31" s="1361"/>
      <c r="L31" s="1493"/>
      <c r="M31" s="1361"/>
      <c r="N31" s="1361"/>
      <c r="O31" s="1361"/>
      <c r="S31" s="2363" t="s">
        <v>515</v>
      </c>
      <c r="T31" s="2363"/>
      <c r="U31" s="1485"/>
      <c r="V31" s="2364" t="str">
        <f>IF(TITLE_NUMBER_PR_CHANGE="",IF(TITLE_NUMBER_PR="","",TITLE_NUMBER_PR),TITLE_NUMBER_PR_CHANGE)</f>
        <v>27-2139</v>
      </c>
      <c r="W31" s="2364"/>
      <c r="X31" s="2364"/>
      <c r="Y31" s="2364"/>
      <c r="Z31" s="2364"/>
      <c r="AA31" s="2364"/>
      <c r="AB31" s="2364"/>
      <c r="AC31" s="1748"/>
      <c r="AD31" s="2364" t="str">
        <f>IF(TITLE_NUMBER_PR_CHANGE="",IF(TITLE_NUMBER_PR="","",TITLE_NUMBER_PR),TITLE_NUMBER_PR_CHANGE)</f>
        <v>27-2139</v>
      </c>
      <c r="AE31" s="2364"/>
      <c r="AF31" s="2364"/>
      <c r="AG31" s="2364"/>
      <c r="AH31" s="2364"/>
      <c r="AI31" s="2364"/>
      <c r="AJ31" s="2364"/>
      <c r="AK31" s="1748"/>
      <c r="AL31" s="1748"/>
      <c r="AM31" s="393"/>
      <c r="AN31" s="481"/>
      <c r="AO31" s="481"/>
      <c r="AP31" s="481"/>
      <c r="AQ31" s="481"/>
      <c r="AR31" s="481"/>
      <c r="AS31" s="531">
        <v>0</v>
      </c>
    </row>
    <row s="5604"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04" customFormat="1" customHeight="1" ht="18.75" hidden="1">
      <c r="A34" s="1361"/>
      <c r="B34" s="1361"/>
      <c r="C34" s="1361"/>
      <c r="D34" s="1361"/>
      <c r="E34" s="1361"/>
      <c r="F34" s="1361"/>
      <c r="G34" s="1361"/>
      <c r="H34" s="1361"/>
      <c r="I34" s="1361"/>
      <c r="J34" s="1361"/>
      <c r="K34" s="1361"/>
      <c r="L34" s="1493"/>
      <c r="M34" s="1361"/>
      <c r="N34" s="1361"/>
      <c r="O34" s="1361"/>
      <c r="S34" s="2363" t="s">
        <v>516</v>
      </c>
      <c r="T34" s="2363"/>
      <c r="U34" s="1485"/>
      <c r="V34" s="2377" t="str">
        <f>IF(TITLE_DATE_PR_CHANGE="",IF(TITLE_DATE_PR="","",TITLE_DATE_PR),TITLE_DATE_PR_CHANGE)</f>
        <v>45408.605891203704</v>
      </c>
      <c r="W34" s="2377"/>
      <c r="X34" s="2377"/>
      <c r="Y34" s="2377"/>
      <c r="Z34" s="2377"/>
      <c r="AA34" s="2377"/>
      <c r="AB34" s="2377"/>
      <c r="AC34" s="1748"/>
      <c r="AD34" s="2377" t="str">
        <f>IF(TITLE_DATE_PR_CHANGE="",IF(TITLE_DATE_PR="","",TITLE_DATE_PR),TITLE_DATE_PR_CHANGE)</f>
        <v>45408.605891203704</v>
      </c>
      <c r="AE34" s="2377"/>
      <c r="AF34" s="2377"/>
      <c r="AG34" s="2377"/>
      <c r="AH34" s="2377"/>
      <c r="AI34" s="2377"/>
      <c r="AJ34" s="2377"/>
      <c r="AK34" s="1748"/>
      <c r="AL34" s="1748"/>
      <c r="AM34" s="393"/>
      <c r="AN34" s="481"/>
      <c r="AO34" s="481"/>
      <c r="AP34" s="481"/>
      <c r="AQ34" s="481"/>
      <c r="AR34" s="481"/>
      <c r="AS34" s="531">
        <v>0</v>
      </c>
    </row>
    <row s="5604" customFormat="1" customHeight="1" ht="18.75" hidden="1">
      <c r="A35" s="1361"/>
      <c r="B35" s="1361"/>
      <c r="C35" s="1361"/>
      <c r="D35" s="1361"/>
      <c r="E35" s="1361"/>
      <c r="F35" s="1361"/>
      <c r="G35" s="1361"/>
      <c r="H35" s="1361"/>
      <c r="I35" s="1361"/>
      <c r="J35" s="1361"/>
      <c r="K35" s="1361"/>
      <c r="L35" s="1493"/>
      <c r="M35" s="1361"/>
      <c r="N35" s="1361"/>
      <c r="O35" s="1361"/>
      <c r="S35" s="2363" t="s">
        <v>517</v>
      </c>
      <c r="T35" s="2363"/>
      <c r="U35" s="1485"/>
      <c r="V35" s="2364" t="str">
        <f>IF(TITLE_NUMBER_PR_CHANGE="",IF(TITLE_NUMBER_PR="","",TITLE_NUMBER_PR),TITLE_NUMBER_PR_CHANGE)</f>
        <v>27-2139</v>
      </c>
      <c r="W35" s="2364"/>
      <c r="X35" s="2364"/>
      <c r="Y35" s="2364"/>
      <c r="Z35" s="2364"/>
      <c r="AA35" s="2364"/>
      <c r="AB35" s="2364"/>
      <c r="AC35" s="1748"/>
      <c r="AD35" s="2364" t="str">
        <f>IF(TITLE_NUMBER_PR_CHANGE="",IF(TITLE_NUMBER_PR="","",TITLE_NUMBER_PR),TITLE_NUMBER_PR_CHANGE)</f>
        <v>27-2139</v>
      </c>
      <c r="AE35" s="2364"/>
      <c r="AF35" s="2364"/>
      <c r="AG35" s="2364"/>
      <c r="AH35" s="2364"/>
      <c r="AI35" s="2364"/>
      <c r="AJ35" s="2364"/>
      <c r="AK35" s="1748"/>
      <c r="AL35" s="1748"/>
      <c r="AM35" s="393"/>
      <c r="AN35" s="481"/>
      <c r="AO35" s="481"/>
      <c r="AP35" s="481"/>
      <c r="AQ35" s="481"/>
      <c r="AR35" s="481"/>
      <c r="AS35" s="531">
        <v>0</v>
      </c>
    </row>
    <row s="560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518</v>
      </c>
      <c r="AD36" s="1748"/>
      <c r="AE36" s="1748"/>
      <c r="AF36" s="1748"/>
      <c r="AG36" s="1748"/>
      <c r="AH36" s="1748"/>
      <c r="AI36" s="1748"/>
      <c r="AJ36" s="1748"/>
      <c r="AK36" s="1755" t="s">
        <v>518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393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394</v>
      </c>
      <c r="AS38" s="1744">
        <v>14</v>
      </c>
    </row>
    <row customHeight="1" ht="14.699999999999998">
      <c r="Q39" s="489"/>
      <c r="R39" s="489"/>
      <c r="S39" s="2386" t="s">
        <v>88</v>
      </c>
      <c r="T39" s="2322" t="s">
        <v>519</v>
      </c>
      <c r="U39" s="450"/>
      <c r="V39" s="2387" t="s">
        <v>520</v>
      </c>
      <c r="W39" s="2388"/>
      <c r="X39" s="2388"/>
      <c r="Y39" s="2388"/>
      <c r="Z39" s="2388"/>
      <c r="AA39" s="2388"/>
      <c r="AB39" s="2389"/>
      <c r="AC39" s="2390" t="s">
        <v>521</v>
      </c>
      <c r="AD39" s="2387" t="s">
        <v>520</v>
      </c>
      <c r="AE39" s="2388"/>
      <c r="AF39" s="2388"/>
      <c r="AG39" s="2388"/>
      <c r="AH39" s="2388"/>
      <c r="AI39" s="2388"/>
      <c r="AJ39" s="2389"/>
      <c r="AK39" s="2390" t="s">
        <v>522</v>
      </c>
      <c r="AL39" s="2393" t="s">
        <v>523</v>
      </c>
      <c r="AM39" s="2240"/>
      <c r="AS39" s="1744">
        <v>14</v>
      </c>
    </row>
    <row customHeight="1" ht="35.699999999999996">
      <c r="Q40" s="489"/>
      <c r="R40" s="489"/>
      <c r="S40" s="2386"/>
      <c r="T40" s="2322"/>
      <c r="U40" s="1144"/>
      <c r="V40" s="2373" t="s">
        <v>524</v>
      </c>
      <c r="W40" s="2396" t="s">
        <v>525</v>
      </c>
      <c r="X40" s="2375" t="s">
        <v>526</v>
      </c>
      <c r="Y40" s="2376"/>
      <c r="Z40" s="2375" t="s">
        <v>539</v>
      </c>
      <c r="AA40" s="2382"/>
      <c r="AB40" s="2376"/>
      <c r="AC40" s="2391"/>
      <c r="AD40" s="2373" t="s">
        <v>524</v>
      </c>
      <c r="AE40" s="2396" t="s">
        <v>525</v>
      </c>
      <c r="AF40" s="2375" t="s">
        <v>526</v>
      </c>
      <c r="AG40" s="2376"/>
      <c r="AH40" s="2375" t="s">
        <v>527</v>
      </c>
      <c r="AI40" s="2382"/>
      <c r="AJ40" s="2376"/>
      <c r="AK40" s="2391"/>
      <c r="AL40" s="2394"/>
      <c r="AM40" s="2240"/>
      <c r="AS40" s="1744">
        <v>34</v>
      </c>
    </row>
    <row customHeight="1" ht="35.699999999999996">
      <c r="A41" s="1379"/>
      <c r="B41" s="1379" t="s">
        <v>167</v>
      </c>
      <c r="C41" s="1379" t="s">
        <v>168</v>
      </c>
      <c r="D41" s="1379" t="s">
        <v>169</v>
      </c>
      <c r="E41" s="1423" t="s">
        <v>528</v>
      </c>
      <c r="F41" s="1423" t="s">
        <v>529</v>
      </c>
      <c r="G41" s="1423" t="s">
        <v>530</v>
      </c>
      <c r="H41" s="1423" t="s">
        <v>531</v>
      </c>
      <c r="I41" s="1423" t="s">
        <v>532</v>
      </c>
      <c r="J41" s="1423" t="s">
        <v>533</v>
      </c>
      <c r="K41" s="1423" t="s">
        <v>534</v>
      </c>
      <c r="L41" s="1423" t="s">
        <v>509</v>
      </c>
      <c r="Q41" s="489"/>
      <c r="R41" s="489"/>
      <c r="S41" s="2386"/>
      <c r="T41" s="2322"/>
      <c r="U41" s="415"/>
      <c r="V41" s="2374"/>
      <c r="W41" s="2397"/>
      <c r="X41" s="2051" t="s">
        <v>535</v>
      </c>
      <c r="Y41" s="2051" t="s">
        <v>536</v>
      </c>
      <c r="Z41" s="2051" t="s">
        <v>537</v>
      </c>
      <c r="AA41" s="2383" t="s">
        <v>538</v>
      </c>
      <c r="AB41" s="2384"/>
      <c r="AC41" s="2392"/>
      <c r="AD41" s="2374"/>
      <c r="AE41" s="2397"/>
      <c r="AF41" s="2051" t="s">
        <v>535</v>
      </c>
      <c r="AG41" s="2051" t="s">
        <v>536</v>
      </c>
      <c r="AH41" s="2051" t="s">
        <v>537</v>
      </c>
      <c r="AI41" s="2383" t="s">
        <v>538</v>
      </c>
      <c r="AJ41" s="2384"/>
      <c r="AK41" s="2392"/>
      <c r="AL41" s="2395"/>
      <c r="AM41" s="2240"/>
      <c r="AS41" s="1744">
        <v>34</v>
      </c>
    </row>
    <row s="6074"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136</v>
      </c>
      <c r="T42" s="1368" t="s">
        <v>103</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241</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155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241</v>
      </c>
      <c r="B44" s="1380" t="s">
        <v>242</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490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491</v>
      </c>
      <c r="AO44" s="1737"/>
      <c r="AP44" s="1737" t="str">
        <f>IF(T44="","",T44)</f>
        <v>Территория действия тарифа</v>
      </c>
      <c r="AQ44" s="1737"/>
      <c r="AR44" s="1737"/>
      <c r="AS44" s="1744">
        <v>21</v>
      </c>
    </row>
    <row customHeight="1" ht="24">
      <c r="A45" s="1380" t="s">
        <v>241</v>
      </c>
      <c r="B45" s="1380" t="s">
        <v>242</v>
      </c>
      <c r="C45" s="1380" t="s">
        <v>243</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492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493</v>
      </c>
      <c r="AO45" s="1737"/>
      <c r="AP45" s="1737" t="str">
        <f>IF(T45="","",T45)</f>
        <v>Наименование системы теплоснабжения </v>
      </c>
      <c r="AQ45" s="1737"/>
      <c r="AR45" s="1737"/>
      <c r="AS45" s="1744">
        <v>23</v>
      </c>
    </row>
    <row customHeight="1" ht="22.049999999999997">
      <c r="A46" s="1380" t="s">
        <v>241</v>
      </c>
      <c r="B46" s="1380" t="s">
        <v>242</v>
      </c>
      <c r="C46" s="1380" t="s">
        <v>243</v>
      </c>
      <c r="D46" s="1380" t="s">
        <v>244</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494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495</v>
      </c>
      <c r="AO46" s="1737"/>
      <c r="AP46" s="1737" t="str">
        <f>IF(T46="","",T46)</f>
        <v>Источник тепловой энергии  </v>
      </c>
      <c r="AQ46" s="1737"/>
      <c r="AR46" s="1737"/>
      <c r="AS46" s="1744">
        <v>21</v>
      </c>
    </row>
    <row customHeight="1" ht="49.5">
      <c r="A47" s="1380" t="s">
        <v>241</v>
      </c>
      <c r="B47" s="1380" t="s">
        <v>242</v>
      </c>
      <c r="C47" s="1380" t="s">
        <v>243</v>
      </c>
      <c r="D47" s="1380" t="s">
        <v>244</v>
      </c>
      <c r="E47" s="2403"/>
      <c r="F47" s="2403"/>
      <c r="G47" s="2403"/>
      <c r="H47" s="2403"/>
      <c r="I47" s="2240" t="str">
        <f>S46&amp;".1"</f>
        <v>....1</v>
      </c>
      <c r="J47" s="1380"/>
      <c r="K47" s="1380"/>
      <c r="L47" s="1423" t="s">
        <v>496</v>
      </c>
      <c r="P47" s="2370">
        <v>1</v>
      </c>
      <c r="Q47" s="2067"/>
      <c r="R47" s="469"/>
      <c r="S47" s="2071" t="str">
        <f>$I47</f>
        <v>....1</v>
      </c>
      <c r="T47" s="398" t="s">
        <v>497</v>
      </c>
      <c r="U47" s="413"/>
      <c r="V47" s="2358"/>
      <c r="W47" s="2359"/>
      <c r="X47" s="2359"/>
      <c r="Y47" s="2359"/>
      <c r="Z47" s="2359"/>
      <c r="AA47" s="2359"/>
      <c r="AB47" s="2359"/>
      <c r="AC47" s="2360"/>
      <c r="AD47" s="2358"/>
      <c r="AE47" s="2359"/>
      <c r="AF47" s="2359"/>
      <c r="AG47" s="2359"/>
      <c r="AH47" s="2359"/>
      <c r="AI47" s="2359"/>
      <c r="AJ47" s="2359"/>
      <c r="AK47" s="2359"/>
      <c r="AL47" s="2360"/>
      <c r="AM47" s="1371" t="s">
        <v>498</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241</v>
      </c>
      <c r="B48" s="1380" t="s">
        <v>242</v>
      </c>
      <c r="C48" s="1380" t="s">
        <v>243</v>
      </c>
      <c r="D48" s="1380" t="s">
        <v>244</v>
      </c>
      <c r="E48" s="2403"/>
      <c r="F48" s="2403"/>
      <c r="G48" s="2403"/>
      <c r="H48" s="2403"/>
      <c r="I48" s="2214"/>
      <c r="J48" s="2240" t="str">
        <f>I47&amp;".1"</f>
        <v>....1.1</v>
      </c>
      <c r="K48" s="1380"/>
      <c r="L48" s="1423" t="s">
        <v>499</v>
      </c>
      <c r="P48" s="2370"/>
      <c r="Q48" s="2370">
        <v>1</v>
      </c>
      <c r="R48" s="470"/>
      <c r="S48" s="2071" t="str">
        <f>$J48</f>
        <v>....1.1</v>
      </c>
      <c r="T48" s="399" t="s">
        <v>500</v>
      </c>
      <c r="U48" s="413"/>
      <c r="V48" s="2358"/>
      <c r="W48" s="2359"/>
      <c r="X48" s="2359"/>
      <c r="Y48" s="2359"/>
      <c r="Z48" s="2359"/>
      <c r="AA48" s="2359"/>
      <c r="AB48" s="2359"/>
      <c r="AC48" s="2360"/>
      <c r="AD48" s="2358"/>
      <c r="AE48" s="2359"/>
      <c r="AF48" s="2359"/>
      <c r="AG48" s="2359"/>
      <c r="AH48" s="2359"/>
      <c r="AI48" s="2359"/>
      <c r="AJ48" s="2359"/>
      <c r="AK48" s="2359"/>
      <c r="AL48" s="2360"/>
      <c r="AM48" s="1371" t="s">
        <v>501</v>
      </c>
      <c r="AO48" s="1737"/>
      <c r="AP48" s="1737" t="str">
        <f>IF(T48="","",T48)</f>
        <v>Группа потребителей</v>
      </c>
      <c r="AQ48" s="1737"/>
      <c r="AR48" s="1737"/>
      <c r="AS48" s="1744">
        <v>21</v>
      </c>
    </row>
    <row customHeight="1" ht="22.049999999999997">
      <c r="A49" s="1380" t="s">
        <v>241</v>
      </c>
      <c r="B49" s="1380" t="s">
        <v>242</v>
      </c>
      <c r="C49" s="1380" t="s">
        <v>243</v>
      </c>
      <c r="D49" s="1380" t="s">
        <v>244</v>
      </c>
      <c r="E49" s="2403"/>
      <c r="F49" s="2403"/>
      <c r="G49" s="2403"/>
      <c r="H49" s="2403"/>
      <c r="I49" s="2214"/>
      <c r="J49" s="2214"/>
      <c r="K49" s="2240" t="str">
        <f>J48&amp;".1"</f>
        <v>....1.1.1</v>
      </c>
      <c r="L49" s="1423" t="s">
        <v>502</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503</v>
      </c>
      <c r="AN49" s="1749">
        <f>STRCHECKDATE(V50:AL50)</f>
      </c>
      <c r="AO49" s="1737"/>
      <c r="AP49" s="1737" t="str">
        <f>IF(T49="","",T49)</f>
        <v/>
      </c>
      <c r="AQ49" s="1737"/>
      <c r="AR49" s="1737"/>
      <c r="AS49" s="1744">
        <v>21</v>
      </c>
    </row>
    <row customHeight="1" ht="1.05">
      <c r="A50" s="1380" t="s">
        <v>241</v>
      </c>
      <c r="B50" s="1380" t="s">
        <v>242</v>
      </c>
      <c r="C50" s="1380" t="s">
        <v>243</v>
      </c>
      <c r="D50" s="1380" t="s">
        <v>244</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241</v>
      </c>
      <c r="B51" s="1380" t="s">
        <v>242</v>
      </c>
      <c r="C51" s="1380" t="s">
        <v>243</v>
      </c>
      <c r="D51" s="1380" t="s">
        <v>244</v>
      </c>
      <c r="E51" s="2403"/>
      <c r="F51" s="2403"/>
      <c r="G51" s="2403"/>
      <c r="H51" s="2403"/>
      <c r="I51" s="2214"/>
      <c r="J51" s="2240"/>
      <c r="K51" s="1380"/>
      <c r="L51" s="1423"/>
      <c r="P51" s="2370"/>
      <c r="Q51" s="2370"/>
      <c r="R51" s="469"/>
      <c r="S51" s="1391"/>
      <c r="T51" s="401" t="s">
        <v>504</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241</v>
      </c>
      <c r="B52" s="1380" t="s">
        <v>242</v>
      </c>
      <c r="C52" s="1380" t="s">
        <v>243</v>
      </c>
      <c r="D52" s="1380" t="s">
        <v>244</v>
      </c>
      <c r="E52" s="2403"/>
      <c r="F52" s="2403"/>
      <c r="G52" s="2403"/>
      <c r="H52" s="2403"/>
      <c r="I52" s="2240"/>
      <c r="J52" s="1380"/>
      <c r="K52" s="1380"/>
      <c r="L52" s="1423"/>
      <c r="P52" s="2370"/>
      <c r="Q52" s="2067"/>
      <c r="R52" s="469"/>
      <c r="S52" s="1391"/>
      <c r="T52" s="400" t="s">
        <v>505</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241</v>
      </c>
      <c r="B53" s="1380" t="s">
        <v>242</v>
      </c>
      <c r="C53" s="1380" t="s">
        <v>243</v>
      </c>
      <c r="D53" s="1380" t="s">
        <v>244</v>
      </c>
      <c r="E53" s="2403"/>
      <c r="F53" s="2403"/>
      <c r="G53" s="2403"/>
      <c r="H53" s="2402"/>
      <c r="I53" s="1380"/>
      <c r="J53" s="1380"/>
      <c r="K53" s="1380"/>
      <c r="L53" s="1423"/>
      <c r="M53" s="1723"/>
      <c r="N53" s="1723"/>
      <c r="O53" s="1748"/>
      <c r="P53" s="473"/>
      <c r="Q53" s="488"/>
      <c r="R53" s="468"/>
      <c r="S53" s="1391"/>
      <c r="T53" s="478" t="s">
        <v>506</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8" customFormat="1" customHeight="1" ht="1.05">
      <c r="A54" s="1380" t="s">
        <v>241</v>
      </c>
      <c r="B54" s="1380" t="s">
        <v>242</v>
      </c>
      <c r="C54" s="1380" t="s">
        <v>243</v>
      </c>
      <c r="D54" s="2087"/>
      <c r="E54" s="2403"/>
      <c r="F54" s="2403"/>
      <c r="G54" s="2402"/>
      <c r="H54" s="2087"/>
      <c r="I54" s="2087"/>
      <c r="J54" s="2087"/>
      <c r="K54" s="2087"/>
      <c r="L54" s="1493"/>
      <c r="M54" s="1723"/>
      <c r="N54" s="1723"/>
      <c r="O54" s="1748"/>
      <c r="P54" s="1429"/>
      <c r="Q54" s="1430"/>
      <c r="R54" s="1429"/>
      <c r="S54" s="1435"/>
      <c r="T54" s="1438" t="s">
        <v>507</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68" customFormat="1" customHeight="1" ht="1.05">
      <c r="A55" s="1380" t="s">
        <v>241</v>
      </c>
      <c r="B55" s="1380" t="s">
        <v>242</v>
      </c>
      <c r="C55" s="2087"/>
      <c r="D55" s="2087"/>
      <c r="E55" s="2403"/>
      <c r="F55" s="2402"/>
      <c r="G55" s="2087"/>
      <c r="H55" s="2087"/>
      <c r="I55" s="2087"/>
      <c r="J55" s="2087"/>
      <c r="K55" s="2087"/>
      <c r="L55" s="1493"/>
      <c r="M55" s="2088"/>
      <c r="N55" s="2088"/>
      <c r="O55" s="1748"/>
      <c r="P55" s="1429"/>
      <c r="Q55" s="1430"/>
      <c r="R55" s="1429"/>
      <c r="S55" s="1435"/>
      <c r="T55" s="1438" t="s">
        <v>312</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68" customFormat="1" customHeight="1" ht="1.05">
      <c r="A56" s="1380" t="s">
        <v>241</v>
      </c>
      <c r="B56" s="1380"/>
      <c r="C56" s="1380"/>
      <c r="D56" s="1380"/>
      <c r="E56" s="2402"/>
      <c r="F56" s="1380"/>
      <c r="G56" s="1380"/>
      <c r="H56" s="1380"/>
      <c r="I56" s="1380"/>
      <c r="J56" s="1380"/>
      <c r="K56" s="1380"/>
      <c r="L56" s="1423"/>
      <c r="M56" s="2088"/>
      <c r="N56" s="2088"/>
      <c r="O56" s="1748"/>
      <c r="P56" s="493"/>
      <c r="Q56" s="1457"/>
      <c r="R56" s="493"/>
      <c r="S56" s="1435"/>
      <c r="T56" s="1438" t="s">
        <v>360</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68"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361</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6D216-6B9C-2FB7-B8A3-FF85FB524B8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7" width="10.57421875" hidden="1"/>
    <col min="2" max="2" style="5467" width="11.00390625" hidden="1" customWidth="1"/>
    <col min="3" max="3" style="5467" width="10.57421875" hidden="1"/>
    <col min="4" max="4" style="5467" width="11.8515625" hidden="1" customWidth="1"/>
    <col min="5" max="5" style="5467" width="10.00390625" hidden="1" customWidth="1"/>
    <col min="6" max="6" style="5467" width="8.7109375" hidden="1" customWidth="1"/>
    <col min="7" max="7" style="5467" width="7.57421875" hidden="1" customWidth="1"/>
    <col min="8" max="8" style="5467" width="11.421875" hidden="1" customWidth="1"/>
    <col min="9" max="9" style="5467" width="12.00390625" hidden="1" customWidth="1"/>
    <col min="10" max="10" style="5467" width="9.8515625" hidden="1" customWidth="1"/>
    <col min="11" max="11" style="5467" width="11.421875" hidden="1" customWidth="1"/>
    <col min="12" max="12" style="6316" width="19.140625" hidden="1" customWidth="1"/>
    <col min="13" max="14" style="6317" width="12.28125" hidden="1" customWidth="1"/>
    <col min="15" max="15" style="6317" width="23.421875" hidden="1" customWidth="1"/>
    <col min="16" max="16" style="6318" width="3.00390625" customWidth="1"/>
    <col min="17" max="18" style="6319" width="3.00390625" customWidth="1"/>
    <col min="19" max="19" style="6320" width="12.00390625" customWidth="1"/>
    <col min="20" max="20" style="5387" width="31.00390625" customWidth="1"/>
    <col min="21" max="21" style="5387" width="0.7109375" hidden="1" customWidth="1"/>
    <col min="22" max="22" style="5387" width="1.7109375" hidden="1" customWidth="1"/>
    <col min="23" max="23" style="5387" width="24.7109375" hidden="1" customWidth="1"/>
    <col min="24" max="25" style="5387" width="0.140625" hidden="1" customWidth="1"/>
    <col min="26" max="26" style="5387" width="11.7109375" hidden="1" customWidth="1"/>
    <col min="27" max="27" style="5387" width="3.7109375" hidden="1" customWidth="1"/>
    <col min="28" max="28" style="5387" width="11.7109375" hidden="1" customWidth="1"/>
    <col min="29" max="29" style="5387" width="8.57421875" hidden="1" customWidth="1"/>
    <col min="30" max="30" style="5387" width="0.140625" customWidth="1"/>
    <col min="31" max="31" style="5387" width="24.00390625" customWidth="1"/>
    <col min="32" max="33" style="5387" width="0.140625" customWidth="1"/>
    <col min="34" max="34" style="5387" width="11.00390625" customWidth="1"/>
    <col min="35" max="35" style="5387" width="3.7109375" customWidth="1"/>
    <col min="36" max="36" style="5387" width="11.00390625" customWidth="1"/>
    <col min="37" max="37" style="5387" width="8.57421875" hidden="1" customWidth="1"/>
    <col min="38" max="38" style="5387" width="4.00390625" customWidth="1"/>
    <col min="39" max="39" style="5387" width="115.00390625" customWidth="1"/>
    <col min="40" max="44" style="5468" width="10.00390625" customWidth="1"/>
    <col min="45" max="45" style="538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155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489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490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491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492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493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494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495</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496</v>
      </c>
      <c r="M6" s="650"/>
      <c r="P6" s="2370">
        <v>1</v>
      </c>
      <c r="Q6" s="1444"/>
      <c r="R6" s="469"/>
      <c r="S6" s="1449">
        <f>$I6</f>
      </c>
      <c r="T6" s="398" t="s">
        <v>497</v>
      </c>
      <c r="U6" s="413"/>
      <c r="V6" s="2358"/>
      <c r="W6" s="2359"/>
      <c r="X6" s="2359"/>
      <c r="Y6" s="2359"/>
      <c r="Z6" s="2359"/>
      <c r="AA6" s="2359"/>
      <c r="AB6" s="2359"/>
      <c r="AC6" s="2360"/>
      <c r="AD6" s="2358"/>
      <c r="AE6" s="2359"/>
      <c r="AF6" s="2359"/>
      <c r="AG6" s="2359"/>
      <c r="AH6" s="2359"/>
      <c r="AI6" s="2359"/>
      <c r="AJ6" s="2359"/>
      <c r="AK6" s="2359"/>
      <c r="AL6" s="2360"/>
      <c r="AM6" s="1371" t="s">
        <v>498</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499</v>
      </c>
      <c r="M7" s="650"/>
      <c r="N7" s="1479"/>
      <c r="P7" s="2370"/>
      <c r="Q7" s="2370">
        <v>1</v>
      </c>
      <c r="R7" s="470"/>
      <c r="S7" s="1449">
        <f>$J7</f>
      </c>
      <c r="T7" s="399" t="s">
        <v>500</v>
      </c>
      <c r="U7" s="413"/>
      <c r="V7" s="2358"/>
      <c r="W7" s="2359"/>
      <c r="X7" s="2359"/>
      <c r="Y7" s="2359"/>
      <c r="Z7" s="2359"/>
      <c r="AA7" s="2359"/>
      <c r="AB7" s="2359"/>
      <c r="AC7" s="2360"/>
      <c r="AD7" s="2358"/>
      <c r="AE7" s="2359"/>
      <c r="AF7" s="2359"/>
      <c r="AG7" s="2359"/>
      <c r="AH7" s="2359"/>
      <c r="AI7" s="2359"/>
      <c r="AJ7" s="2359"/>
      <c r="AK7" s="2359"/>
      <c r="AL7" s="2360"/>
      <c r="AM7" s="1371" t="s">
        <v>501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502</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503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504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505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506</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507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312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360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7" customFormat="1" customHeight="1" ht="22.5" hidden="1">
      <c r="L20" s="1442"/>
      <c r="M20" s="1475"/>
      <c r="N20" s="1475"/>
      <c r="O20" s="1480" t="s">
        <v>508</v>
      </c>
      <c r="P20" s="1475"/>
      <c r="Q20" s="1484"/>
      <c r="R20" s="1484"/>
      <c r="S20" s="842"/>
      <c r="Z20" s="1480"/>
      <c r="AB20" s="1480"/>
      <c r="AC20" s="1479"/>
      <c r="AH20" s="1480"/>
      <c r="AJ20" s="1480"/>
      <c r="AK20" s="1479"/>
      <c r="AN20" s="624"/>
      <c r="AO20" s="624"/>
      <c r="AP20" s="624"/>
      <c r="AQ20" s="624"/>
      <c r="AR20" s="624"/>
      <c r="AS20" s="1273">
        <v>0</v>
      </c>
    </row>
    <row s="5467" customFormat="1" customHeight="1" ht="14.25" hidden="1">
      <c r="L21" s="1442"/>
      <c r="M21" s="1475"/>
      <c r="N21" s="1475"/>
      <c r="O21" s="1475"/>
      <c r="P21" s="1475"/>
      <c r="Q21" s="1484"/>
      <c r="R21" s="1484"/>
      <c r="S21" s="842"/>
      <c r="AC21" s="1479"/>
      <c r="AK21" s="1479"/>
      <c r="AN21" s="624"/>
      <c r="AO21" s="624"/>
      <c r="AP21" s="624"/>
      <c r="AQ21" s="624"/>
      <c r="AR21" s="624"/>
      <c r="AS21" s="1273">
        <v>0</v>
      </c>
    </row>
    <row s="5467" customFormat="1" customHeight="1" ht="33.75" hidden="1">
      <c r="L22" s="1442"/>
      <c r="M22" s="1475"/>
      <c r="N22" s="1475"/>
      <c r="O22" s="1477" t="s">
        <v>509</v>
      </c>
      <c r="P22" s="1475"/>
      <c r="Q22" s="1484"/>
      <c r="R22" s="1484"/>
      <c r="S22" s="842"/>
      <c r="T22" s="1273" t="s">
        <v>510</v>
      </c>
      <c r="AA22" s="299" t="s">
        <v>511</v>
      </c>
      <c r="AC22" s="299" t="s">
        <v>512</v>
      </c>
      <c r="AD22" s="1273" t="s">
        <v>510</v>
      </c>
      <c r="AI22" s="299" t="s">
        <v>513</v>
      </c>
      <c r="AK22" s="299" t="s">
        <v>512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0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04" customFormat="1" customHeight="1" ht="18.75" hidden="1">
      <c r="A30" s="1481"/>
      <c r="B30" s="1481"/>
      <c r="C30" s="1481"/>
      <c r="D30" s="1481"/>
      <c r="E30" s="1481"/>
      <c r="F30" s="1481"/>
      <c r="G30" s="1481"/>
      <c r="H30" s="1481"/>
      <c r="I30" s="1481"/>
      <c r="J30" s="1481"/>
      <c r="K30" s="1481"/>
      <c r="L30" s="1482"/>
      <c r="M30" s="1481"/>
      <c r="N30" s="1481"/>
      <c r="O30" s="1481"/>
      <c r="S30" s="2363" t="s">
        <v>514</v>
      </c>
      <c r="T30" s="2363"/>
      <c r="U30" s="1485"/>
      <c r="V30" s="2377" t="str">
        <f>IF(TITLE_DATE_PR_CHANGE="",IF(TITLE_DATE_PR="","",TITLE_DATE_PR),TITLE_DATE_PR_CHANGE)</f>
        <v>45408.605891203704</v>
      </c>
      <c r="W30" s="2377"/>
      <c r="X30" s="2377"/>
      <c r="Y30" s="2377"/>
      <c r="Z30" s="2377"/>
      <c r="AA30" s="2377"/>
      <c r="AB30" s="2377"/>
      <c r="AC30" s="439"/>
      <c r="AD30" s="2377" t="str">
        <f>IF(TITLE_DATE_PR_CHANGE="",IF(TITLE_DATE_PR="","",TITLE_DATE_PR),TITLE_DATE_PR_CHANGE)</f>
        <v>45408.605891203704</v>
      </c>
      <c r="AE30" s="2377"/>
      <c r="AF30" s="2377"/>
      <c r="AG30" s="2377"/>
      <c r="AH30" s="2377"/>
      <c r="AI30" s="2377"/>
      <c r="AJ30" s="2377"/>
      <c r="AK30" s="439"/>
      <c r="AL30" s="439"/>
      <c r="AM30" s="393"/>
      <c r="AN30" s="481"/>
      <c r="AO30" s="481"/>
      <c r="AP30" s="481"/>
      <c r="AQ30" s="481"/>
      <c r="AR30" s="481"/>
      <c r="AS30" s="531">
        <v>0</v>
      </c>
    </row>
    <row s="5604" customFormat="1" customHeight="1" ht="18.75" hidden="1">
      <c r="A31" s="1481"/>
      <c r="B31" s="1481"/>
      <c r="C31" s="1481"/>
      <c r="D31" s="1481"/>
      <c r="E31" s="1481"/>
      <c r="F31" s="1481"/>
      <c r="G31" s="1481"/>
      <c r="H31" s="1481"/>
      <c r="I31" s="1481"/>
      <c r="J31" s="1481"/>
      <c r="K31" s="1481"/>
      <c r="L31" s="1482"/>
      <c r="M31" s="1481"/>
      <c r="N31" s="1481"/>
      <c r="O31" s="1481"/>
      <c r="S31" s="2363" t="s">
        <v>515</v>
      </c>
      <c r="T31" s="2363"/>
      <c r="U31" s="1485"/>
      <c r="V31" s="2364" t="str">
        <f>IF(TITLE_NUMBER_PR_CHANGE="",IF(TITLE_NUMBER_PR="","",TITLE_NUMBER_PR),TITLE_NUMBER_PR_CHANGE)</f>
        <v>27-2139</v>
      </c>
      <c r="W31" s="2364"/>
      <c r="X31" s="2364"/>
      <c r="Y31" s="2364"/>
      <c r="Z31" s="2364"/>
      <c r="AA31" s="2364"/>
      <c r="AB31" s="2364"/>
      <c r="AC31" s="439"/>
      <c r="AD31" s="2364" t="str">
        <f>IF(TITLE_NUMBER_PR_CHANGE="",IF(TITLE_NUMBER_PR="","",TITLE_NUMBER_PR),TITLE_NUMBER_PR_CHANGE)</f>
        <v>27-2139</v>
      </c>
      <c r="AE31" s="2364"/>
      <c r="AF31" s="2364"/>
      <c r="AG31" s="2364"/>
      <c r="AH31" s="2364"/>
      <c r="AI31" s="2364"/>
      <c r="AJ31" s="2364"/>
      <c r="AK31" s="439"/>
      <c r="AL31" s="439"/>
      <c r="AM31" s="393"/>
      <c r="AN31" s="481"/>
      <c r="AO31" s="481"/>
      <c r="AP31" s="481"/>
      <c r="AQ31" s="481"/>
      <c r="AR31" s="481"/>
      <c r="AS31" s="531">
        <v>0</v>
      </c>
    </row>
    <row s="560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04" customFormat="1" customHeight="1" ht="18.75">
      <c r="A34" s="1481"/>
      <c r="B34" s="1481"/>
      <c r="C34" s="1481"/>
      <c r="D34" s="1481"/>
      <c r="E34" s="1481"/>
      <c r="F34" s="1481"/>
      <c r="G34" s="1481"/>
      <c r="H34" s="1481"/>
      <c r="I34" s="1481"/>
      <c r="J34" s="1481"/>
      <c r="K34" s="1481"/>
      <c r="L34" s="1482"/>
      <c r="M34" s="1481"/>
      <c r="N34" s="1481"/>
      <c r="O34" s="1481"/>
      <c r="S34" s="2363" t="s">
        <v>516</v>
      </c>
      <c r="T34" s="2363"/>
      <c r="U34" s="1485"/>
      <c r="V34" s="2377" t="str">
        <f>IF(TITLE_DATE_PR_CHANGE="",IF(TITLE_DATE_PR="","",TITLE_DATE_PR),TITLE_DATE_PR_CHANGE)</f>
        <v>45408.605891203704</v>
      </c>
      <c r="W34" s="2377"/>
      <c r="X34" s="2377"/>
      <c r="Y34" s="2377"/>
      <c r="Z34" s="2377"/>
      <c r="AA34" s="2377"/>
      <c r="AB34" s="2377"/>
      <c r="AC34" s="439"/>
      <c r="AD34" s="2377" t="str">
        <f>IF(TITLE_DATE_PR_CHANGE="",IF(TITLE_DATE_PR="","",TITLE_DATE_PR),TITLE_DATE_PR_CHANGE)</f>
        <v>45408.605891203704</v>
      </c>
      <c r="AE34" s="2377"/>
      <c r="AF34" s="2377"/>
      <c r="AG34" s="2377"/>
      <c r="AH34" s="2377"/>
      <c r="AI34" s="2377"/>
      <c r="AJ34" s="2377"/>
      <c r="AK34" s="439"/>
      <c r="AL34" s="439"/>
      <c r="AM34" s="393"/>
      <c r="AN34" s="481"/>
      <c r="AO34" s="481"/>
      <c r="AP34" s="481"/>
      <c r="AQ34" s="481"/>
      <c r="AR34" s="481"/>
      <c r="AS34" s="531">
        <v>0</v>
      </c>
    </row>
    <row s="5604" customFormat="1" customHeight="1" ht="18.75">
      <c r="A35" s="1481"/>
      <c r="B35" s="1481"/>
      <c r="C35" s="1481"/>
      <c r="D35" s="1481"/>
      <c r="E35" s="1481"/>
      <c r="F35" s="1481"/>
      <c r="G35" s="1481"/>
      <c r="H35" s="1481"/>
      <c r="I35" s="1481"/>
      <c r="J35" s="1481"/>
      <c r="K35" s="1481"/>
      <c r="L35" s="1482"/>
      <c r="M35" s="1481"/>
      <c r="N35" s="1481"/>
      <c r="O35" s="1481"/>
      <c r="S35" s="2363" t="s">
        <v>517</v>
      </c>
      <c r="T35" s="2363"/>
      <c r="U35" s="1485"/>
      <c r="V35" s="2364" t="str">
        <f>IF(TITLE_NUMBER_PR_CHANGE="",IF(TITLE_NUMBER_PR="","",TITLE_NUMBER_PR),TITLE_NUMBER_PR_CHANGE)</f>
        <v>27-2139</v>
      </c>
      <c r="W35" s="2364"/>
      <c r="X35" s="2364"/>
      <c r="Y35" s="2364"/>
      <c r="Z35" s="2364"/>
      <c r="AA35" s="2364"/>
      <c r="AB35" s="2364"/>
      <c r="AC35" s="439"/>
      <c r="AD35" s="2364" t="str">
        <f>IF(TITLE_NUMBER_PR_CHANGE="",IF(TITLE_NUMBER_PR="","",TITLE_NUMBER_PR),TITLE_NUMBER_PR_CHANGE)</f>
        <v>27-2139</v>
      </c>
      <c r="AE35" s="2364"/>
      <c r="AF35" s="2364"/>
      <c r="AG35" s="2364"/>
      <c r="AH35" s="2364"/>
      <c r="AI35" s="2364"/>
      <c r="AJ35" s="2364"/>
      <c r="AK35" s="439"/>
      <c r="AL35" s="439"/>
      <c r="AM35" s="393"/>
      <c r="AN35" s="481"/>
      <c r="AO35" s="481"/>
      <c r="AP35" s="481"/>
      <c r="AQ35" s="481"/>
      <c r="AR35" s="481"/>
      <c r="AS35" s="531">
        <v>0</v>
      </c>
    </row>
    <row s="560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518</v>
      </c>
      <c r="AD36" s="439"/>
      <c r="AE36" s="439"/>
      <c r="AF36" s="439"/>
      <c r="AG36" s="439"/>
      <c r="AH36" s="439"/>
      <c r="AI36" s="439"/>
      <c r="AJ36" s="439"/>
      <c r="AK36" s="391" t="s">
        <v>518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393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394</v>
      </c>
      <c r="AS38" s="1268">
        <v>14</v>
      </c>
    </row>
    <row customHeight="1" ht="14.699999999999998">
      <c r="Q39" s="489"/>
      <c r="R39" s="489"/>
      <c r="S39" s="2386" t="s">
        <v>88</v>
      </c>
      <c r="T39" s="2322" t="s">
        <v>519</v>
      </c>
      <c r="U39" s="414"/>
      <c r="V39" s="2387" t="s">
        <v>520</v>
      </c>
      <c r="W39" s="2388"/>
      <c r="X39" s="2404"/>
      <c r="Y39" s="2404"/>
      <c r="Z39" s="2388"/>
      <c r="AA39" s="2388"/>
      <c r="AB39" s="2389"/>
      <c r="AC39" s="2390" t="s">
        <v>521</v>
      </c>
      <c r="AD39" s="2387" t="s">
        <v>520</v>
      </c>
      <c r="AE39" s="2388"/>
      <c r="AF39" s="2404"/>
      <c r="AG39" s="2404"/>
      <c r="AH39" s="2388"/>
      <c r="AI39" s="2388"/>
      <c r="AJ39" s="2389"/>
      <c r="AK39" s="2390" t="s">
        <v>522</v>
      </c>
      <c r="AL39" s="2393" t="s">
        <v>523</v>
      </c>
      <c r="AM39" s="2240"/>
      <c r="AS39" s="1268">
        <v>14</v>
      </c>
    </row>
    <row customHeight="1" ht="24">
      <c r="Q40" s="489"/>
      <c r="R40" s="489"/>
      <c r="S40" s="2386"/>
      <c r="T40" s="2322"/>
      <c r="U40" s="1144"/>
      <c r="V40" s="2405" t="s">
        <v>524</v>
      </c>
      <c r="W40" s="2407" t="s">
        <v>525</v>
      </c>
      <c r="X40" s="1489" t="s">
        <v>526</v>
      </c>
      <c r="Y40" s="1489"/>
      <c r="Z40" s="2382" t="s">
        <v>527</v>
      </c>
      <c r="AA40" s="2382"/>
      <c r="AB40" s="2376"/>
      <c r="AC40" s="2391"/>
      <c r="AD40" s="2405" t="s">
        <v>524</v>
      </c>
      <c r="AE40" s="2407" t="s">
        <v>525</v>
      </c>
      <c r="AF40" s="1489" t="s">
        <v>526</v>
      </c>
      <c r="AG40" s="1489"/>
      <c r="AH40" s="2382" t="s">
        <v>527</v>
      </c>
      <c r="AI40" s="2382"/>
      <c r="AJ40" s="2376"/>
      <c r="AK40" s="2391"/>
      <c r="AL40" s="2394"/>
      <c r="AM40" s="2240"/>
      <c r="AS40" s="1268">
        <v>23</v>
      </c>
    </row>
    <row s="5656" customFormat="1" customHeight="1" ht="24">
      <c r="A41" s="1483"/>
      <c r="B41" s="1483" t="s">
        <v>167</v>
      </c>
      <c r="C41" s="1483" t="s">
        <v>168</v>
      </c>
      <c r="D41" s="1483" t="s">
        <v>169</v>
      </c>
      <c r="E41" s="1477" t="s">
        <v>528</v>
      </c>
      <c r="F41" s="1477" t="s">
        <v>529</v>
      </c>
      <c r="G41" s="1477" t="s">
        <v>530</v>
      </c>
      <c r="H41" s="1477" t="s">
        <v>531</v>
      </c>
      <c r="I41" s="1477" t="s">
        <v>532</v>
      </c>
      <c r="J41" s="1477" t="s">
        <v>533</v>
      </c>
      <c r="K41" s="1477" t="s">
        <v>534</v>
      </c>
      <c r="L41" s="1477" t="s">
        <v>509</v>
      </c>
      <c r="M41" s="1475"/>
      <c r="N41" s="1475"/>
      <c r="O41" s="1475"/>
      <c r="P41" s="1441"/>
      <c r="Q41" s="489"/>
      <c r="R41" s="489"/>
      <c r="S41" s="2386"/>
      <c r="T41" s="2322"/>
      <c r="U41" s="415"/>
      <c r="V41" s="2406"/>
      <c r="W41" s="2408"/>
      <c r="X41" s="1486" t="s">
        <v>535</v>
      </c>
      <c r="Y41" s="1486" t="s">
        <v>536</v>
      </c>
      <c r="Z41" s="1447" t="s">
        <v>537</v>
      </c>
      <c r="AA41" s="2383" t="s">
        <v>538</v>
      </c>
      <c r="AB41" s="2384"/>
      <c r="AC41" s="2392"/>
      <c r="AD41" s="2406"/>
      <c r="AE41" s="2408"/>
      <c r="AF41" s="1486" t="s">
        <v>535</v>
      </c>
      <c r="AG41" s="1486" t="s">
        <v>536</v>
      </c>
      <c r="AH41" s="1447" t="s">
        <v>537</v>
      </c>
      <c r="AI41" s="2383" t="s">
        <v>538</v>
      </c>
      <c r="AJ41" s="2384"/>
      <c r="AK41" s="2392"/>
      <c r="AL41" s="2395"/>
      <c r="AM41" s="2240"/>
      <c r="AN41" s="624"/>
      <c r="AO41" s="613"/>
      <c r="AP41" s="613"/>
      <c r="AQ41" s="613"/>
      <c r="AR41" s="613"/>
      <c r="AS41" s="695">
        <v>23</v>
      </c>
    </row>
    <row s="607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136</v>
      </c>
      <c r="T42" s="1368" t="s">
        <v>103</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223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155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223</v>
      </c>
      <c r="B44" s="1476" t="s">
        <v>224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490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491</v>
      </c>
      <c r="AO44" s="613"/>
      <c r="AP44" s="613" t="str">
        <f>IF(T44="","",T44)</f>
        <v>Территория действия тарифа</v>
      </c>
      <c r="AQ44" s="613"/>
      <c r="AR44" s="613"/>
      <c r="AS44" s="1268">
        <v>21</v>
      </c>
    </row>
    <row customHeight="1" ht="24">
      <c r="A45" s="1476" t="s">
        <v>223</v>
      </c>
      <c r="B45" s="1476" t="s">
        <v>224</v>
      </c>
      <c r="C45" s="1476" t="s">
        <v>225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492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493</v>
      </c>
      <c r="AO45" s="613"/>
      <c r="AP45" s="613" t="str">
        <f>IF(T45="","",T45)</f>
        <v>Наименование системы теплоснабжения </v>
      </c>
      <c r="AQ45" s="613"/>
      <c r="AR45" s="613"/>
      <c r="AS45" s="1268">
        <v>23</v>
      </c>
    </row>
    <row customHeight="1" ht="22.049999999999997">
      <c r="A46" s="1476" t="s">
        <v>223</v>
      </c>
      <c r="B46" s="1476" t="s">
        <v>224</v>
      </c>
      <c r="C46" s="1476" t="s">
        <v>225</v>
      </c>
      <c r="D46" s="1476" t="s">
        <v>226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494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495</v>
      </c>
      <c r="AO46" s="613"/>
      <c r="AP46" s="613" t="str">
        <f>IF(T46="","",T46)</f>
        <v>Источник тепловой энергии  </v>
      </c>
      <c r="AQ46" s="613"/>
      <c r="AR46" s="613"/>
      <c r="AS46" s="1268">
        <v>21</v>
      </c>
    </row>
    <row customHeight="1" ht="49.5">
      <c r="A47" s="1476" t="s">
        <v>223</v>
      </c>
      <c r="B47" s="1476" t="s">
        <v>224</v>
      </c>
      <c r="C47" s="1476" t="s">
        <v>225</v>
      </c>
      <c r="D47" s="1476" t="s">
        <v>226</v>
      </c>
      <c r="E47" s="2372"/>
      <c r="F47" s="2372"/>
      <c r="G47" s="2372"/>
      <c r="H47" s="2372"/>
      <c r="I47" s="2369" t="str">
        <f>S46&amp;".1"</f>
        <v>....1</v>
      </c>
      <c r="J47" s="1476"/>
      <c r="K47" s="1476"/>
      <c r="L47" s="1477" t="s">
        <v>496</v>
      </c>
      <c r="P47" s="2370">
        <v>1</v>
      </c>
      <c r="Q47" s="1444"/>
      <c r="R47" s="469"/>
      <c r="S47" s="1449" t="str">
        <f>$I47</f>
        <v>....1</v>
      </c>
      <c r="T47" s="398" t="s">
        <v>497</v>
      </c>
      <c r="U47" s="413"/>
      <c r="V47" s="2358"/>
      <c r="W47" s="2359"/>
      <c r="X47" s="2359"/>
      <c r="Y47" s="2359"/>
      <c r="Z47" s="2359"/>
      <c r="AA47" s="2359"/>
      <c r="AB47" s="2359"/>
      <c r="AC47" s="2360"/>
      <c r="AD47" s="2358"/>
      <c r="AE47" s="2359"/>
      <c r="AF47" s="2359"/>
      <c r="AG47" s="2359"/>
      <c r="AH47" s="2359"/>
      <c r="AI47" s="2359"/>
      <c r="AJ47" s="2359"/>
      <c r="AK47" s="2359"/>
      <c r="AL47" s="2360"/>
      <c r="AM47" s="1371" t="s">
        <v>498</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223</v>
      </c>
      <c r="B48" s="1476" t="s">
        <v>224</v>
      </c>
      <c r="C48" s="1476" t="s">
        <v>225</v>
      </c>
      <c r="D48" s="1476" t="s">
        <v>226</v>
      </c>
      <c r="E48" s="2372"/>
      <c r="F48" s="2372"/>
      <c r="G48" s="2372"/>
      <c r="H48" s="2372"/>
      <c r="I48" s="2399"/>
      <c r="J48" s="2369" t="str">
        <f>I47&amp;".1"</f>
        <v>....1.1</v>
      </c>
      <c r="K48" s="1476"/>
      <c r="L48" s="1477" t="s">
        <v>499</v>
      </c>
      <c r="P48" s="2370"/>
      <c r="Q48" s="2370">
        <v>1</v>
      </c>
      <c r="R48" s="470"/>
      <c r="S48" s="1449" t="str">
        <f>$J48</f>
        <v>....1.1</v>
      </c>
      <c r="T48" s="399" t="s">
        <v>500</v>
      </c>
      <c r="U48" s="413"/>
      <c r="V48" s="2358"/>
      <c r="W48" s="2359"/>
      <c r="X48" s="2359"/>
      <c r="Y48" s="2359"/>
      <c r="Z48" s="2359"/>
      <c r="AA48" s="2359"/>
      <c r="AB48" s="2359"/>
      <c r="AC48" s="2360"/>
      <c r="AD48" s="2358"/>
      <c r="AE48" s="2359"/>
      <c r="AF48" s="2359"/>
      <c r="AG48" s="2359"/>
      <c r="AH48" s="2359"/>
      <c r="AI48" s="2359"/>
      <c r="AJ48" s="2359"/>
      <c r="AK48" s="2359"/>
      <c r="AL48" s="2360"/>
      <c r="AM48" s="1371" t="s">
        <v>501</v>
      </c>
      <c r="AO48" s="613"/>
      <c r="AP48" s="613" t="str">
        <f>IF(T48="","",T48)</f>
        <v>Группа потребителей</v>
      </c>
      <c r="AQ48" s="613"/>
      <c r="AR48" s="613"/>
      <c r="AS48" s="1268">
        <v>21</v>
      </c>
    </row>
    <row customHeight="1" ht="22.049999999999997">
      <c r="A49" s="1476" t="s">
        <v>223</v>
      </c>
      <c r="B49" s="1476" t="s">
        <v>224</v>
      </c>
      <c r="C49" s="1476" t="s">
        <v>225</v>
      </c>
      <c r="D49" s="1476" t="s">
        <v>226</v>
      </c>
      <c r="E49" s="2372"/>
      <c r="F49" s="2372"/>
      <c r="G49" s="2372"/>
      <c r="H49" s="2372"/>
      <c r="I49" s="2399"/>
      <c r="J49" s="2399"/>
      <c r="K49" s="2369" t="str">
        <f>J48&amp;".1"</f>
        <v>....1.1.1</v>
      </c>
      <c r="L49" s="1477" t="s">
        <v>502</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503</v>
      </c>
      <c r="AN49" s="624">
        <f>STRCHECKDATE(V50:AL50)</f>
      </c>
      <c r="AO49" s="613"/>
      <c r="AP49" s="613" t="str">
        <f>IF(T49="","",T49)</f>
        <v/>
      </c>
      <c r="AQ49" s="613"/>
      <c r="AR49" s="613"/>
      <c r="AS49" s="1268">
        <v>21</v>
      </c>
    </row>
    <row customHeight="1" ht="1.05">
      <c r="A50" s="1476" t="s">
        <v>223</v>
      </c>
      <c r="B50" s="1476" t="s">
        <v>224</v>
      </c>
      <c r="C50" s="1476" t="s">
        <v>225</v>
      </c>
      <c r="D50" s="1476" t="s">
        <v>226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223</v>
      </c>
      <c r="B51" s="1476" t="s">
        <v>224</v>
      </c>
      <c r="C51" s="1476" t="s">
        <v>225</v>
      </c>
      <c r="D51" s="1476" t="s">
        <v>226</v>
      </c>
      <c r="E51" s="2372"/>
      <c r="F51" s="2372"/>
      <c r="G51" s="2372"/>
      <c r="H51" s="2372"/>
      <c r="I51" s="2399"/>
      <c r="J51" s="2369"/>
      <c r="K51" s="1476"/>
      <c r="L51" s="1477"/>
      <c r="P51" s="2370"/>
      <c r="Q51" s="2370"/>
      <c r="R51" s="469"/>
      <c r="S51" s="1391"/>
      <c r="T51" s="401" t="s">
        <v>504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223</v>
      </c>
      <c r="B52" s="1476" t="s">
        <v>224</v>
      </c>
      <c r="C52" s="1476" t="s">
        <v>225</v>
      </c>
      <c r="D52" s="1476" t="s">
        <v>226</v>
      </c>
      <c r="E52" s="2372"/>
      <c r="F52" s="2372"/>
      <c r="G52" s="2372"/>
      <c r="H52" s="2372"/>
      <c r="I52" s="2369"/>
      <c r="J52" s="1476"/>
      <c r="K52" s="1476"/>
      <c r="L52" s="1477"/>
      <c r="P52" s="2370"/>
      <c r="Q52" s="1444"/>
      <c r="R52" s="469"/>
      <c r="S52" s="1391"/>
      <c r="T52" s="400" t="s">
        <v>505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223</v>
      </c>
      <c r="B53" s="1476" t="s">
        <v>224</v>
      </c>
      <c r="C53" s="1476" t="s">
        <v>225</v>
      </c>
      <c r="D53" s="1476" t="s">
        <v>226</v>
      </c>
      <c r="E53" s="2372"/>
      <c r="F53" s="2372"/>
      <c r="G53" s="2372"/>
      <c r="H53" s="2371"/>
      <c r="I53" s="1476"/>
      <c r="J53" s="1476"/>
      <c r="K53" s="1476"/>
      <c r="L53" s="1477"/>
      <c r="M53" s="1478"/>
      <c r="N53" s="1478"/>
      <c r="O53" s="650"/>
      <c r="P53" s="473"/>
      <c r="Q53" s="488"/>
      <c r="R53" s="468"/>
      <c r="S53" s="1391"/>
      <c r="T53" s="478" t="s">
        <v>506</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8" customFormat="1" customHeight="1" ht="1.05">
      <c r="A54" s="1456" t="s">
        <v>223</v>
      </c>
      <c r="B54" s="1456" t="s">
        <v>224</v>
      </c>
      <c r="C54" s="1456" t="s">
        <v>225</v>
      </c>
      <c r="D54" s="1427"/>
      <c r="E54" s="2372"/>
      <c r="F54" s="2372"/>
      <c r="G54" s="2371"/>
      <c r="H54" s="1427"/>
      <c r="I54" s="1427"/>
      <c r="J54" s="1427"/>
      <c r="K54" s="1427"/>
      <c r="L54" s="1452"/>
      <c r="M54" s="1428"/>
      <c r="N54" s="1428"/>
      <c r="P54" s="1429"/>
      <c r="Q54" s="1430"/>
      <c r="R54" s="1429"/>
      <c r="S54" s="1435"/>
      <c r="T54" s="1438" t="s">
        <v>507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8" customFormat="1" customHeight="1" ht="1.05">
      <c r="A55" s="1456" t="s">
        <v>223</v>
      </c>
      <c r="B55" s="1456" t="s">
        <v>224</v>
      </c>
      <c r="C55" s="1427"/>
      <c r="D55" s="1427"/>
      <c r="E55" s="2372"/>
      <c r="F55" s="2371"/>
      <c r="G55" s="1427"/>
      <c r="H55" s="1427"/>
      <c r="I55" s="1427"/>
      <c r="J55" s="1427"/>
      <c r="K55" s="1427"/>
      <c r="L55" s="1452"/>
      <c r="M55" s="1434"/>
      <c r="N55" s="1434"/>
      <c r="P55" s="1429"/>
      <c r="Q55" s="1430"/>
      <c r="R55" s="1429"/>
      <c r="S55" s="1435"/>
      <c r="T55" s="1438" t="s">
        <v>312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8" customFormat="1" customHeight="1" ht="1.05">
      <c r="A56" s="1456" t="s">
        <v>223</v>
      </c>
      <c r="B56" s="1456"/>
      <c r="C56" s="1456"/>
      <c r="D56" s="1456"/>
      <c r="E56" s="2371"/>
      <c r="F56" s="1456"/>
      <c r="G56" s="1456"/>
      <c r="H56" s="1456"/>
      <c r="I56" s="1456"/>
      <c r="J56" s="1456"/>
      <c r="K56" s="1456"/>
      <c r="L56" s="1459"/>
      <c r="M56" s="1434"/>
      <c r="N56" s="1434"/>
      <c r="O56" s="631"/>
      <c r="P56" s="493"/>
      <c r="Q56" s="1457"/>
      <c r="R56" s="493"/>
      <c r="S56" s="1435"/>
      <c r="T56" s="1438" t="s">
        <v>360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361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750F8-454B-F0DF-4452-EC84F4DA9BE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67" width="10.57421875" hidden="1"/>
    <col min="2" max="2" style="5467" width="11.00390625" hidden="1" customWidth="1"/>
    <col min="3" max="3" style="5467" width="10.57421875" hidden="1"/>
    <col min="4" max="4" style="5467" width="11.8515625" hidden="1" customWidth="1"/>
    <col min="5" max="5" style="5467" width="10.00390625" hidden="1" customWidth="1"/>
    <col min="6" max="6" style="5467" width="8.7109375" hidden="1" customWidth="1"/>
    <col min="7" max="7" style="5467" width="7.57421875" hidden="1" customWidth="1"/>
    <col min="8" max="8" style="5467" width="11.421875" hidden="1" customWidth="1"/>
    <col min="9" max="9" style="5467" width="12.00390625" hidden="1" customWidth="1"/>
    <col min="10" max="10" style="5467" width="9.8515625" hidden="1" customWidth="1"/>
    <col min="11" max="11" style="5467" width="11.421875" hidden="1" customWidth="1"/>
    <col min="12" max="12" style="6316" width="19.140625" hidden="1" customWidth="1"/>
    <col min="13" max="14" style="6317" width="12.28125" hidden="1" customWidth="1"/>
    <col min="15" max="15" style="6317" width="23.421875" hidden="1" customWidth="1"/>
    <col min="16" max="16" style="6318" width="3.7109375" hidden="1" customWidth="1"/>
    <col min="17" max="18" style="6319" width="3.00390625" customWidth="1"/>
    <col min="19" max="19" style="6320" width="12.00390625" customWidth="1"/>
    <col min="20" max="20" style="5387" width="31.00390625" customWidth="1"/>
    <col min="21" max="21" style="5387" width="0.140625" customWidth="1"/>
    <col min="22" max="22" style="5387" width="24.7109375" hidden="1" customWidth="1"/>
    <col min="23" max="23" style="5387" width="0.140625" hidden="1" customWidth="1"/>
    <col min="24" max="25" style="5387" width="24.7109375" hidden="1" customWidth="1"/>
    <col min="26" max="26" style="5387" width="11.7109375" hidden="1" customWidth="1"/>
    <col min="27" max="27" style="5387" width="3.7109375" hidden="1" customWidth="1"/>
    <col min="28" max="28" style="5387" width="11.7109375" hidden="1" customWidth="1"/>
    <col min="29" max="29" style="5387" width="8.57421875" hidden="1" customWidth="1"/>
    <col min="30" max="30" style="5387" width="24.7109375" customWidth="1"/>
    <col min="31" max="31" style="5387" width="0.140625" customWidth="1"/>
    <col min="32" max="33" style="5387" width="24.00390625" customWidth="1"/>
    <col min="34" max="34" style="5387" width="11.00390625" customWidth="1"/>
    <col min="35" max="35" style="5387" width="3.7109375" customWidth="1"/>
    <col min="36" max="36" style="5387" width="11.00390625" customWidth="1"/>
    <col min="37" max="37" style="5387" width="8.57421875" hidden="1" customWidth="1"/>
    <col min="38" max="38" style="5387" width="4.00390625" customWidth="1"/>
    <col min="39" max="39" style="5387" width="115.00390625" customWidth="1"/>
    <col min="40" max="44" style="5468" width="10.00390625" customWidth="1"/>
    <col min="45" max="45" style="5387"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155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489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490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491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492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493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494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495</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496</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499</v>
      </c>
      <c r="M7" s="650"/>
      <c r="N7" s="1479"/>
      <c r="P7" s="2370"/>
      <c r="Q7" s="2370">
        <v>1</v>
      </c>
      <c r="R7" s="470"/>
      <c r="S7" s="1449">
        <f>$J7</f>
      </c>
      <c r="T7" s="399" t="s">
        <v>500</v>
      </c>
      <c r="U7" s="413"/>
      <c r="V7" s="2358"/>
      <c r="W7" s="2359"/>
      <c r="X7" s="2359"/>
      <c r="Y7" s="2359"/>
      <c r="Z7" s="2359"/>
      <c r="AA7" s="2359"/>
      <c r="AB7" s="2359"/>
      <c r="AC7" s="2360"/>
      <c r="AD7" s="2358"/>
      <c r="AE7" s="2359"/>
      <c r="AF7" s="2359"/>
      <c r="AG7" s="2359"/>
      <c r="AH7" s="2359"/>
      <c r="AI7" s="2359"/>
      <c r="AJ7" s="2359"/>
      <c r="AK7" s="2359"/>
      <c r="AL7" s="2360"/>
      <c r="AM7" s="1371" t="s">
        <v>501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502</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503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504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505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507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312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360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7" customFormat="1" customHeight="1" ht="22.5" hidden="1">
      <c r="L20" s="1442"/>
      <c r="M20" s="1475"/>
      <c r="N20" s="1475"/>
      <c r="O20" s="1480" t="s">
        <v>508</v>
      </c>
      <c r="P20" s="1475"/>
      <c r="Q20" s="1484"/>
      <c r="R20" s="1484"/>
      <c r="S20" s="842"/>
      <c r="Z20" s="1480"/>
      <c r="AB20" s="1480"/>
      <c r="AC20" s="1479"/>
      <c r="AH20" s="1480"/>
      <c r="AJ20" s="1480"/>
      <c r="AK20" s="1479"/>
      <c r="AN20" s="624"/>
      <c r="AO20" s="624"/>
      <c r="AP20" s="624"/>
      <c r="AQ20" s="624"/>
      <c r="AR20" s="624"/>
      <c r="AS20" s="1273">
        <v>0</v>
      </c>
    </row>
    <row s="5467" customFormat="1" customHeight="1" ht="14.25" hidden="1">
      <c r="L21" s="1442"/>
      <c r="M21" s="1475"/>
      <c r="N21" s="1475"/>
      <c r="O21" s="1475"/>
      <c r="P21" s="1475"/>
      <c r="Q21" s="1484"/>
      <c r="R21" s="1484"/>
      <c r="S21" s="842"/>
      <c r="AC21" s="1479"/>
      <c r="AK21" s="1479"/>
      <c r="AN21" s="624"/>
      <c r="AO21" s="624"/>
      <c r="AP21" s="624"/>
      <c r="AQ21" s="624"/>
      <c r="AR21" s="624"/>
      <c r="AS21" s="1273">
        <v>0</v>
      </c>
    </row>
    <row s="5467" customFormat="1" customHeight="1" ht="14.25" hidden="1">
      <c r="L22" s="1442"/>
      <c r="M22" s="1475"/>
      <c r="N22" s="1475"/>
      <c r="O22" s="1477" t="s">
        <v>509</v>
      </c>
      <c r="P22" s="1475"/>
      <c r="Q22" s="1484"/>
      <c r="R22" s="1484"/>
      <c r="S22" s="842"/>
      <c r="T22" s="1273" t="s">
        <v>510</v>
      </c>
      <c r="AA22" s="299" t="s">
        <v>511</v>
      </c>
      <c r="AC22" s="299" t="s">
        <v>512</v>
      </c>
      <c r="AD22" s="1273" t="s">
        <v>510</v>
      </c>
      <c r="AI22" s="299" t="s">
        <v>513</v>
      </c>
      <c r="AK22" s="299" t="s">
        <v>512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0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04" customFormat="1" customHeight="1" ht="18.75" hidden="1">
      <c r="A30" s="1481"/>
      <c r="B30" s="1481"/>
      <c r="C30" s="1481"/>
      <c r="D30" s="1481"/>
      <c r="E30" s="1481"/>
      <c r="F30" s="1481"/>
      <c r="G30" s="1481"/>
      <c r="H30" s="1481"/>
      <c r="I30" s="1481"/>
      <c r="J30" s="1481"/>
      <c r="K30" s="1481"/>
      <c r="L30" s="1482"/>
      <c r="M30" s="1481"/>
      <c r="N30" s="1481"/>
      <c r="O30" s="1481"/>
      <c r="S30" s="2363" t="s">
        <v>514</v>
      </c>
      <c r="T30" s="2363"/>
      <c r="U30" s="1485"/>
      <c r="V30" s="2377" t="str">
        <f>IF(TITLE_DATE_PR_CHANGE="",IF(TITLE_DATE_PR="","",TITLE_DATE_PR),TITLE_DATE_PR_CHANGE)</f>
        <v>45408.605891203704</v>
      </c>
      <c r="W30" s="2377"/>
      <c r="X30" s="2377"/>
      <c r="Y30" s="2377"/>
      <c r="Z30" s="2377"/>
      <c r="AA30" s="2377"/>
      <c r="AB30" s="2377"/>
      <c r="AC30" s="439"/>
      <c r="AD30" s="2377" t="str">
        <f>IF(TITLE_DATE_PR_CHANGE="",IF(TITLE_DATE_PR="","",TITLE_DATE_PR),TITLE_DATE_PR_CHANGE)</f>
        <v>45408.605891203704</v>
      </c>
      <c r="AE30" s="2377"/>
      <c r="AF30" s="2377"/>
      <c r="AG30" s="2377"/>
      <c r="AH30" s="2377"/>
      <c r="AI30" s="2377"/>
      <c r="AJ30" s="2377"/>
      <c r="AK30" s="439"/>
      <c r="AL30" s="439"/>
      <c r="AM30" s="393"/>
      <c r="AN30" s="481"/>
      <c r="AO30" s="481"/>
      <c r="AP30" s="481"/>
      <c r="AQ30" s="481"/>
      <c r="AR30" s="481"/>
      <c r="AS30" s="531">
        <v>0</v>
      </c>
    </row>
    <row s="5604" customFormat="1" customHeight="1" ht="18.75" hidden="1">
      <c r="A31" s="1481"/>
      <c r="B31" s="1481"/>
      <c r="C31" s="1481"/>
      <c r="D31" s="1481"/>
      <c r="E31" s="1481"/>
      <c r="F31" s="1481"/>
      <c r="G31" s="1481"/>
      <c r="H31" s="1481"/>
      <c r="I31" s="1481"/>
      <c r="J31" s="1481"/>
      <c r="K31" s="1481"/>
      <c r="L31" s="1482"/>
      <c r="M31" s="1481"/>
      <c r="N31" s="1481"/>
      <c r="O31" s="1481"/>
      <c r="S31" s="2363" t="s">
        <v>515</v>
      </c>
      <c r="T31" s="2363"/>
      <c r="U31" s="1485"/>
      <c r="V31" s="2364" t="str">
        <f>IF(TITLE_NUMBER_PR_CHANGE="",IF(TITLE_NUMBER_PR="","",TITLE_NUMBER_PR),TITLE_NUMBER_PR_CHANGE)</f>
        <v>27-2139</v>
      </c>
      <c r="W31" s="2364"/>
      <c r="X31" s="2364"/>
      <c r="Y31" s="2364"/>
      <c r="Z31" s="2364"/>
      <c r="AA31" s="2364"/>
      <c r="AB31" s="2364"/>
      <c r="AC31" s="439"/>
      <c r="AD31" s="2364" t="str">
        <f>IF(TITLE_NUMBER_PR_CHANGE="",IF(TITLE_NUMBER_PR="","",TITLE_NUMBER_PR),TITLE_NUMBER_PR_CHANGE)</f>
        <v>27-2139</v>
      </c>
      <c r="AE31" s="2364"/>
      <c r="AF31" s="2364"/>
      <c r="AG31" s="2364"/>
      <c r="AH31" s="2364"/>
      <c r="AI31" s="2364"/>
      <c r="AJ31" s="2364"/>
      <c r="AK31" s="439"/>
      <c r="AL31" s="439"/>
      <c r="AM31" s="393"/>
      <c r="AN31" s="481"/>
      <c r="AO31" s="481"/>
      <c r="AP31" s="481"/>
      <c r="AQ31" s="481"/>
      <c r="AR31" s="481"/>
      <c r="AS31" s="531">
        <v>0</v>
      </c>
    </row>
    <row s="560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04" customFormat="1" customHeight="1" ht="18.75">
      <c r="A34" s="1481"/>
      <c r="B34" s="1481"/>
      <c r="C34" s="1481"/>
      <c r="D34" s="1481"/>
      <c r="E34" s="1481"/>
      <c r="F34" s="1481"/>
      <c r="G34" s="1481"/>
      <c r="H34" s="1481"/>
      <c r="I34" s="1481"/>
      <c r="J34" s="1481"/>
      <c r="K34" s="1481"/>
      <c r="L34" s="1482"/>
      <c r="M34" s="1481"/>
      <c r="N34" s="1481"/>
      <c r="O34" s="1481"/>
      <c r="S34" s="2363" t="s">
        <v>516</v>
      </c>
      <c r="T34" s="2363"/>
      <c r="U34" s="1485"/>
      <c r="V34" s="2377" t="str">
        <f>IF(TITLE_DATE_PR_CHANGE="",IF(TITLE_DATE_PR="","",TITLE_DATE_PR),TITLE_DATE_PR_CHANGE)</f>
        <v>45408.605891203704</v>
      </c>
      <c r="W34" s="2377"/>
      <c r="X34" s="2377"/>
      <c r="Y34" s="2377"/>
      <c r="Z34" s="2377"/>
      <c r="AA34" s="2377"/>
      <c r="AB34" s="2377"/>
      <c r="AC34" s="439"/>
      <c r="AD34" s="2377" t="str">
        <f>IF(TITLE_DATE_PR_CHANGE="",IF(TITLE_DATE_PR="","",TITLE_DATE_PR),TITLE_DATE_PR_CHANGE)</f>
        <v>45408.605891203704</v>
      </c>
      <c r="AE34" s="2377"/>
      <c r="AF34" s="2377"/>
      <c r="AG34" s="2377"/>
      <c r="AH34" s="2377"/>
      <c r="AI34" s="2377"/>
      <c r="AJ34" s="2377"/>
      <c r="AK34" s="439"/>
      <c r="AL34" s="439"/>
      <c r="AM34" s="393"/>
      <c r="AN34" s="481"/>
      <c r="AO34" s="481"/>
      <c r="AP34" s="481"/>
      <c r="AQ34" s="481"/>
      <c r="AR34" s="481"/>
      <c r="AS34" s="531">
        <v>0</v>
      </c>
    </row>
    <row s="5604" customFormat="1" customHeight="1" ht="18.75">
      <c r="A35" s="1481"/>
      <c r="B35" s="1481"/>
      <c r="C35" s="1481"/>
      <c r="D35" s="1481"/>
      <c r="E35" s="1481"/>
      <c r="F35" s="1481"/>
      <c r="G35" s="1481"/>
      <c r="H35" s="1481"/>
      <c r="I35" s="1481"/>
      <c r="J35" s="1481"/>
      <c r="K35" s="1481"/>
      <c r="L35" s="1482"/>
      <c r="M35" s="1481"/>
      <c r="N35" s="1481"/>
      <c r="O35" s="1481"/>
      <c r="S35" s="2363" t="s">
        <v>517</v>
      </c>
      <c r="T35" s="2363"/>
      <c r="U35" s="1485"/>
      <c r="V35" s="2364" t="str">
        <f>IF(TITLE_NUMBER_PR_CHANGE="",IF(TITLE_NUMBER_PR="","",TITLE_NUMBER_PR),TITLE_NUMBER_PR_CHANGE)</f>
        <v>27-2139</v>
      </c>
      <c r="W35" s="2364"/>
      <c r="X35" s="2364"/>
      <c r="Y35" s="2364"/>
      <c r="Z35" s="2364"/>
      <c r="AA35" s="2364"/>
      <c r="AB35" s="2364"/>
      <c r="AC35" s="439"/>
      <c r="AD35" s="2364" t="str">
        <f>IF(TITLE_NUMBER_PR_CHANGE="",IF(TITLE_NUMBER_PR="","",TITLE_NUMBER_PR),TITLE_NUMBER_PR_CHANGE)</f>
        <v>27-2139</v>
      </c>
      <c r="AE35" s="2364"/>
      <c r="AF35" s="2364"/>
      <c r="AG35" s="2364"/>
      <c r="AH35" s="2364"/>
      <c r="AI35" s="2364"/>
      <c r="AJ35" s="2364"/>
      <c r="AK35" s="439"/>
      <c r="AL35" s="439"/>
      <c r="AM35" s="393"/>
      <c r="AN35" s="481"/>
      <c r="AO35" s="481"/>
      <c r="AP35" s="481"/>
      <c r="AQ35" s="481"/>
      <c r="AR35" s="481"/>
      <c r="AS35" s="531">
        <v>0</v>
      </c>
    </row>
    <row s="560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518</v>
      </c>
      <c r="AD36" s="439"/>
      <c r="AE36" s="439"/>
      <c r="AF36" s="439"/>
      <c r="AG36" s="439"/>
      <c r="AH36" s="439"/>
      <c r="AI36" s="439"/>
      <c r="AJ36" s="439"/>
      <c r="AK36" s="391" t="s">
        <v>518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393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394</v>
      </c>
      <c r="AS38" s="1268">
        <v>14</v>
      </c>
    </row>
    <row customHeight="1" ht="14.699999999999998">
      <c r="Q39" s="489"/>
      <c r="R39" s="489"/>
      <c r="S39" s="2386" t="s">
        <v>88</v>
      </c>
      <c r="T39" s="2322" t="s">
        <v>519</v>
      </c>
      <c r="U39" s="414"/>
      <c r="V39" s="2387" t="s">
        <v>520</v>
      </c>
      <c r="W39" s="2388"/>
      <c r="X39" s="2388"/>
      <c r="Y39" s="2388"/>
      <c r="Z39" s="2388"/>
      <c r="AA39" s="2388"/>
      <c r="AB39" s="2389"/>
      <c r="AC39" s="2390" t="s">
        <v>521</v>
      </c>
      <c r="AD39" s="2387" t="s">
        <v>520</v>
      </c>
      <c r="AE39" s="2388"/>
      <c r="AF39" s="2388"/>
      <c r="AG39" s="2388"/>
      <c r="AH39" s="2388"/>
      <c r="AI39" s="2388"/>
      <c r="AJ39" s="2389"/>
      <c r="AK39" s="2390" t="s">
        <v>522</v>
      </c>
      <c r="AL39" s="2393" t="s">
        <v>523</v>
      </c>
      <c r="AM39" s="2240"/>
      <c r="AS39" s="1268">
        <v>14</v>
      </c>
    </row>
    <row customHeight="1" ht="35.699999999999996">
      <c r="Q40" s="489"/>
      <c r="R40" s="489"/>
      <c r="S40" s="2386"/>
      <c r="T40" s="2322"/>
      <c r="U40" s="1144"/>
      <c r="V40" s="2373" t="s">
        <v>524</v>
      </c>
      <c r="W40" s="2396"/>
      <c r="X40" s="2375" t="s">
        <v>526</v>
      </c>
      <c r="Y40" s="2376"/>
      <c r="Z40" s="2375" t="s">
        <v>527</v>
      </c>
      <c r="AA40" s="2382"/>
      <c r="AB40" s="2376"/>
      <c r="AC40" s="2391"/>
      <c r="AD40" s="2373" t="s">
        <v>540</v>
      </c>
      <c r="AE40" s="2396"/>
      <c r="AF40" s="2375" t="s">
        <v>526</v>
      </c>
      <c r="AG40" s="2376"/>
      <c r="AH40" s="2375" t="s">
        <v>527</v>
      </c>
      <c r="AI40" s="2382"/>
      <c r="AJ40" s="2376"/>
      <c r="AK40" s="2391"/>
      <c r="AL40" s="2394"/>
      <c r="AM40" s="2240"/>
      <c r="AS40" s="1268">
        <v>34</v>
      </c>
    </row>
    <row customHeight="1" ht="35.699999999999996">
      <c r="A41" s="1483"/>
      <c r="B41" s="1483" t="s">
        <v>167</v>
      </c>
      <c r="C41" s="1483" t="s">
        <v>168</v>
      </c>
      <c r="D41" s="1483" t="s">
        <v>169</v>
      </c>
      <c r="E41" s="1477" t="s">
        <v>528</v>
      </c>
      <c r="F41" s="1477" t="s">
        <v>529</v>
      </c>
      <c r="G41" s="1477" t="s">
        <v>530</v>
      </c>
      <c r="H41" s="1477" t="s">
        <v>531</v>
      </c>
      <c r="I41" s="1477" t="s">
        <v>532</v>
      </c>
      <c r="J41" s="1477" t="s">
        <v>533</v>
      </c>
      <c r="K41" s="1477" t="s">
        <v>534</v>
      </c>
      <c r="L41" s="1477" t="s">
        <v>509</v>
      </c>
      <c r="Q41" s="489"/>
      <c r="R41" s="489"/>
      <c r="S41" s="2386"/>
      <c r="T41" s="2322"/>
      <c r="U41" s="415"/>
      <c r="V41" s="2374"/>
      <c r="W41" s="2397"/>
      <c r="X41" s="1335" t="s">
        <v>535</v>
      </c>
      <c r="Y41" s="1335" t="s">
        <v>536</v>
      </c>
      <c r="Z41" s="1451" t="s">
        <v>537</v>
      </c>
      <c r="AA41" s="2383" t="s">
        <v>538</v>
      </c>
      <c r="AB41" s="2384"/>
      <c r="AC41" s="2392"/>
      <c r="AD41" s="2374"/>
      <c r="AE41" s="2397"/>
      <c r="AF41" s="1335" t="s">
        <v>535</v>
      </c>
      <c r="AG41" s="1335" t="s">
        <v>536</v>
      </c>
      <c r="AH41" s="1451" t="s">
        <v>537</v>
      </c>
      <c r="AI41" s="2383" t="s">
        <v>538</v>
      </c>
      <c r="AJ41" s="2384"/>
      <c r="AK41" s="2392"/>
      <c r="AL41" s="2395"/>
      <c r="AM41" s="2240"/>
      <c r="AS41" s="1268">
        <v>34</v>
      </c>
    </row>
    <row s="607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136</v>
      </c>
      <c r="T42" s="1368" t="s">
        <v>103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155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199</v>
      </c>
      <c r="B44" s="1476" t="s">
        <v>200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490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491</v>
      </c>
      <c r="AO44" s="613"/>
      <c r="AP44" s="613" t="str">
        <f>IF(T44="","",T44)</f>
        <v>Территория действия тарифа</v>
      </c>
      <c r="AQ44" s="613"/>
      <c r="AR44" s="613"/>
      <c r="AS44" s="1268">
        <v>21</v>
      </c>
    </row>
    <row customHeight="1" ht="24">
      <c r="A45" s="1476" t="s">
        <v>199</v>
      </c>
      <c r="B45" s="1476" t="s">
        <v>200</v>
      </c>
      <c r="C45" s="1476" t="s">
        <v>201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492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493</v>
      </c>
      <c r="AO45" s="613"/>
      <c r="AP45" s="613" t="str">
        <f>IF(T45="","",T45)</f>
        <v>Наименование системы теплоснабжения </v>
      </c>
      <c r="AQ45" s="613"/>
      <c r="AR45" s="613"/>
      <c r="AS45" s="1268">
        <v>23</v>
      </c>
    </row>
    <row customHeight="1" ht="22.049999999999997">
      <c r="A46" s="1476" t="s">
        <v>199</v>
      </c>
      <c r="B46" s="1476" t="s">
        <v>200</v>
      </c>
      <c r="C46" s="1476" t="s">
        <v>201</v>
      </c>
      <c r="D46" s="1476" t="s">
        <v>202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494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495</v>
      </c>
      <c r="AO46" s="613"/>
      <c r="AP46" s="613" t="str">
        <f>IF(T46="","",T46)</f>
        <v>Источник тепловой энергии  </v>
      </c>
      <c r="AQ46" s="613"/>
      <c r="AR46" s="613"/>
      <c r="AS46" s="1268">
        <v>21</v>
      </c>
    </row>
    <row s="5468" customFormat="1" customHeight="1" ht="0">
      <c r="A47" s="1456" t="s">
        <v>199</v>
      </c>
      <c r="B47" s="1456" t="s">
        <v>200</v>
      </c>
      <c r="C47" s="1456" t="s">
        <v>201</v>
      </c>
      <c r="D47" s="1456" t="s">
        <v>202</v>
      </c>
      <c r="E47" s="2372"/>
      <c r="F47" s="2372"/>
      <c r="G47" s="2372"/>
      <c r="H47" s="2372"/>
      <c r="I47" s="2369" t="str">
        <f>S46&amp;".1"</f>
        <v>....1</v>
      </c>
      <c r="J47" s="1456"/>
      <c r="K47" s="1456"/>
      <c r="L47" s="1459" t="s">
        <v>496</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199</v>
      </c>
      <c r="B48" s="1476" t="s">
        <v>200</v>
      </c>
      <c r="C48" s="1476" t="s">
        <v>201</v>
      </c>
      <c r="D48" s="1476" t="s">
        <v>202</v>
      </c>
      <c r="E48" s="2372"/>
      <c r="F48" s="2372"/>
      <c r="G48" s="2372"/>
      <c r="H48" s="2372"/>
      <c r="I48" s="2399"/>
      <c r="J48" s="2369" t="str">
        <f>S46&amp;".1"</f>
        <v>....1</v>
      </c>
      <c r="K48" s="1476"/>
      <c r="L48" s="1477" t="s">
        <v>499</v>
      </c>
      <c r="P48" s="2370"/>
      <c r="Q48" s="2370">
        <v>1</v>
      </c>
      <c r="R48" s="470"/>
      <c r="S48" s="1449" t="str">
        <f>$J48</f>
        <v>....1</v>
      </c>
      <c r="T48" s="399" t="s">
        <v>500</v>
      </c>
      <c r="U48" s="413"/>
      <c r="V48" s="2358"/>
      <c r="W48" s="2359"/>
      <c r="X48" s="2359"/>
      <c r="Y48" s="2359"/>
      <c r="Z48" s="2359"/>
      <c r="AA48" s="2359"/>
      <c r="AB48" s="2359"/>
      <c r="AC48" s="2360"/>
      <c r="AD48" s="2358"/>
      <c r="AE48" s="2359"/>
      <c r="AF48" s="2359"/>
      <c r="AG48" s="2359"/>
      <c r="AH48" s="2359"/>
      <c r="AI48" s="2359"/>
      <c r="AJ48" s="2359"/>
      <c r="AK48" s="2359"/>
      <c r="AL48" s="2360"/>
      <c r="AM48" s="1371" t="s">
        <v>501</v>
      </c>
      <c r="AO48" s="613"/>
      <c r="AP48" s="613" t="str">
        <f>IF(T48="","",T48)</f>
        <v>Группа потребителей</v>
      </c>
      <c r="AQ48" s="613"/>
      <c r="AR48" s="613"/>
      <c r="AS48" s="1268">
        <v>21</v>
      </c>
    </row>
    <row customHeight="1" ht="22.049999999999997">
      <c r="A49" s="1476" t="s">
        <v>199</v>
      </c>
      <c r="B49" s="1476" t="s">
        <v>200</v>
      </c>
      <c r="C49" s="1476" t="s">
        <v>201</v>
      </c>
      <c r="D49" s="1476" t="s">
        <v>202</v>
      </c>
      <c r="E49" s="2372"/>
      <c r="F49" s="2372"/>
      <c r="G49" s="2372"/>
      <c r="H49" s="2372"/>
      <c r="I49" s="2399"/>
      <c r="J49" s="2399"/>
      <c r="K49" s="2369" t="str">
        <f>J48&amp;".1"</f>
        <v>....1.1</v>
      </c>
      <c r="L49" s="1477" t="s">
        <v>502</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541</v>
      </c>
      <c r="AN49" s="624">
        <f>STRCHECKDATE(V50:AL50)</f>
      </c>
      <c r="AO49" s="613"/>
      <c r="AP49" s="613" t="str">
        <f>IF(T49="","",T49)</f>
        <v/>
      </c>
      <c r="AQ49" s="613"/>
      <c r="AR49" s="613"/>
      <c r="AS49" s="1268">
        <v>21</v>
      </c>
    </row>
    <row customHeight="1" ht="1.05">
      <c r="A50" s="1476" t="s">
        <v>199</v>
      </c>
      <c r="B50" s="1476" t="s">
        <v>200</v>
      </c>
      <c r="C50" s="1476" t="s">
        <v>201</v>
      </c>
      <c r="D50" s="1476" t="s">
        <v>202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199</v>
      </c>
      <c r="B51" s="1476" t="s">
        <v>200</v>
      </c>
      <c r="C51" s="1476" t="s">
        <v>201</v>
      </c>
      <c r="D51" s="1476" t="s">
        <v>202</v>
      </c>
      <c r="E51" s="2372"/>
      <c r="F51" s="2372"/>
      <c r="G51" s="2372"/>
      <c r="H51" s="2372"/>
      <c r="I51" s="2399"/>
      <c r="J51" s="2369"/>
      <c r="K51" s="1476"/>
      <c r="L51" s="1477"/>
      <c r="P51" s="2370"/>
      <c r="Q51" s="2370"/>
      <c r="R51" s="469"/>
      <c r="S51" s="1391"/>
      <c r="T51" s="400" t="s">
        <v>504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199</v>
      </c>
      <c r="B52" s="1476" t="s">
        <v>200</v>
      </c>
      <c r="C52" s="1476" t="s">
        <v>201</v>
      </c>
      <c r="D52" s="1476" t="s">
        <v>202</v>
      </c>
      <c r="E52" s="2372"/>
      <c r="F52" s="2372"/>
      <c r="G52" s="2372"/>
      <c r="H52" s="2372"/>
      <c r="I52" s="2369"/>
      <c r="J52" s="1476"/>
      <c r="K52" s="1476"/>
      <c r="L52" s="1477"/>
      <c r="P52" s="2370"/>
      <c r="Q52" s="1444"/>
      <c r="R52" s="469"/>
      <c r="S52" s="1391"/>
      <c r="T52" s="478" t="s">
        <v>505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199</v>
      </c>
      <c r="B53" s="1476" t="s">
        <v>200</v>
      </c>
      <c r="C53" s="1476" t="s">
        <v>201</v>
      </c>
      <c r="D53" s="1476" t="s">
        <v>202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8" customFormat="1" customHeight="1" ht="1.05">
      <c r="A54" s="1456" t="s">
        <v>199</v>
      </c>
      <c r="B54" s="1456" t="s">
        <v>200</v>
      </c>
      <c r="C54" s="1456" t="s">
        <v>201</v>
      </c>
      <c r="D54" s="1427"/>
      <c r="E54" s="2372"/>
      <c r="F54" s="2372"/>
      <c r="G54" s="2371"/>
      <c r="H54" s="1427"/>
      <c r="I54" s="1427"/>
      <c r="J54" s="1427"/>
      <c r="K54" s="1427"/>
      <c r="L54" s="1452"/>
      <c r="M54" s="1428"/>
      <c r="N54" s="1428"/>
      <c r="P54" s="1429"/>
      <c r="Q54" s="1430"/>
      <c r="R54" s="1429"/>
      <c r="S54" s="1435"/>
      <c r="T54" s="1438" t="s">
        <v>507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8" customFormat="1" customHeight="1" ht="1.05">
      <c r="A55" s="1456" t="s">
        <v>199</v>
      </c>
      <c r="B55" s="1456" t="s">
        <v>200</v>
      </c>
      <c r="C55" s="1427"/>
      <c r="D55" s="1427"/>
      <c r="E55" s="2372"/>
      <c r="F55" s="2371"/>
      <c r="G55" s="1427"/>
      <c r="H55" s="1427"/>
      <c r="I55" s="1427"/>
      <c r="J55" s="1427"/>
      <c r="K55" s="1427"/>
      <c r="L55" s="1452"/>
      <c r="M55" s="1434"/>
      <c r="N55" s="1434"/>
      <c r="P55" s="1429"/>
      <c r="Q55" s="1430"/>
      <c r="R55" s="1429"/>
      <c r="S55" s="1435"/>
      <c r="T55" s="1438" t="s">
        <v>312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8" customFormat="1" customHeight="1" ht="1.05">
      <c r="A56" s="1456" t="s">
        <v>199</v>
      </c>
      <c r="B56" s="1456"/>
      <c r="C56" s="1456"/>
      <c r="D56" s="1456"/>
      <c r="E56" s="2371"/>
      <c r="F56" s="1456"/>
      <c r="G56" s="1456"/>
      <c r="H56" s="1456"/>
      <c r="I56" s="1456"/>
      <c r="J56" s="1456"/>
      <c r="K56" s="1456"/>
      <c r="L56" s="1459"/>
      <c r="M56" s="1434"/>
      <c r="N56" s="1434"/>
      <c r="O56" s="631"/>
      <c r="P56" s="493"/>
      <c r="Q56" s="1457"/>
      <c r="R56" s="493"/>
      <c r="S56" s="1435"/>
      <c r="T56" s="1438" t="s">
        <v>360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361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1F2A5-6809-9886-6612-87457E1AB85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67" width="10.57421875" hidden="1"/>
    <col min="2" max="2" style="5467" width="11.00390625" hidden="1" customWidth="1"/>
    <col min="3" max="3" style="5467" width="10.57421875" hidden="1"/>
    <col min="4" max="4" style="5467" width="11.8515625" hidden="1" customWidth="1"/>
    <col min="5" max="5" style="5467" width="10.00390625" hidden="1" customWidth="1"/>
    <col min="6" max="6" style="5467" width="8.7109375" hidden="1" customWidth="1"/>
    <col min="7" max="7" style="5467" width="7.57421875" hidden="1" customWidth="1"/>
    <col min="8" max="8" style="5467" width="11.421875" hidden="1" customWidth="1"/>
    <col min="9" max="9" style="5467" width="12.00390625" hidden="1" customWidth="1"/>
    <col min="10" max="10" style="5467" width="9.8515625" hidden="1" customWidth="1"/>
    <col min="11" max="11" style="5467" width="11.421875" hidden="1" customWidth="1"/>
    <col min="12" max="12" style="6316" width="19.140625" hidden="1" customWidth="1"/>
    <col min="13" max="14" style="6317" width="12.28125" hidden="1" customWidth="1"/>
    <col min="15" max="15" style="6317" width="23.421875" hidden="1" customWidth="1"/>
    <col min="16" max="16" style="6318" width="3.7109375" hidden="1" customWidth="1"/>
    <col min="17" max="18" style="6319" width="3.00390625" customWidth="1"/>
    <col min="19" max="19" style="6320" width="12.00390625" customWidth="1"/>
    <col min="20" max="20" style="5387" width="31.00390625" customWidth="1"/>
    <col min="21" max="21" style="5387" width="0.140625" customWidth="1"/>
    <col min="22" max="22" style="5387" width="24.7109375" hidden="1" customWidth="1"/>
    <col min="23" max="23" style="5387" width="0.140625" hidden="1" customWidth="1"/>
    <col min="24" max="25" style="5387" width="24.7109375" hidden="1" customWidth="1"/>
    <col min="26" max="26" style="5387" width="11.7109375" hidden="1" customWidth="1"/>
    <col min="27" max="27" style="5387" width="3.7109375" hidden="1" customWidth="1"/>
    <col min="28" max="28" style="5387" width="11.7109375" hidden="1" customWidth="1"/>
    <col min="29" max="29" style="5387" width="8.57421875" hidden="1" customWidth="1"/>
    <col min="30" max="30" style="5387" width="24.7109375" customWidth="1"/>
    <col min="31" max="31" style="5387" width="0.140625" customWidth="1"/>
    <col min="32" max="33" style="5387" width="24.00390625" customWidth="1"/>
    <col min="34" max="34" style="5387" width="11.00390625" customWidth="1"/>
    <col min="35" max="35" style="5387" width="3.7109375" customWidth="1"/>
    <col min="36" max="36" style="5387" width="11.00390625" customWidth="1"/>
    <col min="37" max="37" style="5387" width="8.57421875" hidden="1" customWidth="1"/>
    <col min="38" max="38" style="5387" width="4.00390625" customWidth="1"/>
    <col min="39" max="39" style="5387" width="115.00390625" customWidth="1"/>
    <col min="40" max="44" style="5468" width="10.00390625" customWidth="1"/>
    <col min="45" max="45" style="5387"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155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489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490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491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492</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493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494</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495</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496</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499</v>
      </c>
      <c r="M7" s="650"/>
      <c r="N7" s="1479"/>
      <c r="P7" s="2370"/>
      <c r="Q7" s="2370">
        <v>1</v>
      </c>
      <c r="R7" s="1755"/>
      <c r="S7" s="2120">
        <f>$J7</f>
      </c>
      <c r="T7" s="399" t="s">
        <v>500</v>
      </c>
      <c r="U7" s="413"/>
      <c r="V7" s="2418"/>
      <c r="W7" s="2418"/>
      <c r="X7" s="2418"/>
      <c r="Y7" s="2418"/>
      <c r="Z7" s="2418"/>
      <c r="AA7" s="2418"/>
      <c r="AB7" s="2418"/>
      <c r="AC7" s="2418"/>
      <c r="AD7" s="2418"/>
      <c r="AE7" s="2418"/>
      <c r="AF7" s="2418"/>
      <c r="AG7" s="2418"/>
      <c r="AH7" s="2418"/>
      <c r="AI7" s="2418"/>
      <c r="AJ7" s="2418"/>
      <c r="AK7" s="2418"/>
      <c r="AL7" s="2418"/>
      <c r="AM7" s="2123" t="s">
        <v>501</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502</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503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504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505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507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312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360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7" customFormat="1" customHeight="1" ht="22.5" hidden="1">
      <c r="L20" s="1442"/>
      <c r="M20" s="1475"/>
      <c r="N20" s="1475"/>
      <c r="O20" s="1480" t="s">
        <v>508</v>
      </c>
      <c r="P20" s="1475"/>
      <c r="Q20" s="1484"/>
      <c r="R20" s="1484"/>
      <c r="S20" s="842"/>
      <c r="Z20" s="1480"/>
      <c r="AB20" s="1480"/>
      <c r="AC20" s="1479"/>
      <c r="AH20" s="1480"/>
      <c r="AJ20" s="1480"/>
      <c r="AK20" s="1479"/>
      <c r="AN20" s="624"/>
      <c r="AO20" s="624"/>
      <c r="AP20" s="624"/>
      <c r="AQ20" s="624"/>
      <c r="AR20" s="624"/>
      <c r="AS20" s="1273">
        <v>0</v>
      </c>
    </row>
    <row s="5467" customFormat="1" customHeight="1" ht="14.25" hidden="1">
      <c r="L21" s="1442"/>
      <c r="M21" s="1475"/>
      <c r="N21" s="1475"/>
      <c r="O21" s="1475"/>
      <c r="P21" s="1475"/>
      <c r="Q21" s="1484"/>
      <c r="R21" s="1484"/>
      <c r="S21" s="842"/>
      <c r="AC21" s="1479"/>
      <c r="AK21" s="1479"/>
      <c r="AN21" s="624"/>
      <c r="AO21" s="624"/>
      <c r="AP21" s="624"/>
      <c r="AQ21" s="624"/>
      <c r="AR21" s="624"/>
      <c r="AS21" s="1273">
        <v>0</v>
      </c>
    </row>
    <row s="5467" customFormat="1" customHeight="1" ht="14.25" hidden="1">
      <c r="L22" s="1442"/>
      <c r="M22" s="1475"/>
      <c r="N22" s="1475"/>
      <c r="O22" s="1477" t="s">
        <v>509</v>
      </c>
      <c r="P22" s="1475"/>
      <c r="Q22" s="1484"/>
      <c r="R22" s="1484"/>
      <c r="S22" s="842"/>
      <c r="T22" s="1273" t="s">
        <v>510</v>
      </c>
      <c r="AA22" s="299" t="s">
        <v>511</v>
      </c>
      <c r="AC22" s="299" t="s">
        <v>512</v>
      </c>
      <c r="AD22" s="1273" t="s">
        <v>510</v>
      </c>
      <c r="AI22" s="299" t="s">
        <v>513</v>
      </c>
      <c r="AK22" s="299" t="s">
        <v>512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0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04" customFormat="1" customHeight="1" ht="18.75" hidden="1">
      <c r="A30" s="1481"/>
      <c r="B30" s="1481"/>
      <c r="C30" s="1481"/>
      <c r="D30" s="1481"/>
      <c r="E30" s="1481"/>
      <c r="F30" s="1481"/>
      <c r="G30" s="1481"/>
      <c r="H30" s="1481"/>
      <c r="I30" s="1481"/>
      <c r="J30" s="1481"/>
      <c r="K30" s="1481"/>
      <c r="L30" s="1482"/>
      <c r="M30" s="1481"/>
      <c r="N30" s="1481"/>
      <c r="O30" s="1481"/>
      <c r="S30" s="2363" t="s">
        <v>514</v>
      </c>
      <c r="T30" s="2363"/>
      <c r="U30" s="1485"/>
      <c r="V30" s="2377" t="str">
        <f>IF(TITLE_DATE_PR_CHANGE="",IF(TITLE_DATE_PR="","",TITLE_DATE_PR),TITLE_DATE_PR_CHANGE)</f>
        <v>45408.605891203704</v>
      </c>
      <c r="W30" s="2377"/>
      <c r="X30" s="2377"/>
      <c r="Y30" s="2377"/>
      <c r="Z30" s="2377"/>
      <c r="AA30" s="2377"/>
      <c r="AB30" s="2377"/>
      <c r="AC30" s="439"/>
      <c r="AD30" s="2377" t="str">
        <f>IF(TITLE_DATE_PR_CHANGE="",IF(TITLE_DATE_PR="","",TITLE_DATE_PR),TITLE_DATE_PR_CHANGE)</f>
        <v>45408.605891203704</v>
      </c>
      <c r="AE30" s="2377"/>
      <c r="AF30" s="2377"/>
      <c r="AG30" s="2377"/>
      <c r="AH30" s="2377"/>
      <c r="AI30" s="2377"/>
      <c r="AJ30" s="2377"/>
      <c r="AK30" s="439"/>
      <c r="AL30" s="439"/>
      <c r="AM30" s="393"/>
      <c r="AN30" s="481"/>
      <c r="AO30" s="481"/>
      <c r="AP30" s="481"/>
      <c r="AQ30" s="481"/>
      <c r="AR30" s="481"/>
      <c r="AS30" s="531">
        <v>0</v>
      </c>
    </row>
    <row s="5604" customFormat="1" customHeight="1" ht="18.75" hidden="1">
      <c r="A31" s="1481"/>
      <c r="B31" s="1481"/>
      <c r="C31" s="1481"/>
      <c r="D31" s="1481"/>
      <c r="E31" s="1481"/>
      <c r="F31" s="1481"/>
      <c r="G31" s="1481"/>
      <c r="H31" s="1481"/>
      <c r="I31" s="1481"/>
      <c r="J31" s="1481"/>
      <c r="K31" s="1481"/>
      <c r="L31" s="1482"/>
      <c r="M31" s="1481"/>
      <c r="N31" s="1481"/>
      <c r="O31" s="1481"/>
      <c r="S31" s="2363" t="s">
        <v>515</v>
      </c>
      <c r="T31" s="2363"/>
      <c r="U31" s="1485"/>
      <c r="V31" s="2364" t="str">
        <f>IF(TITLE_NUMBER_PR_CHANGE="",IF(TITLE_NUMBER_PR="","",TITLE_NUMBER_PR),TITLE_NUMBER_PR_CHANGE)</f>
        <v>27-2139</v>
      </c>
      <c r="W31" s="2364"/>
      <c r="X31" s="2364"/>
      <c r="Y31" s="2364"/>
      <c r="Z31" s="2364"/>
      <c r="AA31" s="2364"/>
      <c r="AB31" s="2364"/>
      <c r="AC31" s="439"/>
      <c r="AD31" s="2364" t="str">
        <f>IF(TITLE_NUMBER_PR_CHANGE="",IF(TITLE_NUMBER_PR="","",TITLE_NUMBER_PR),TITLE_NUMBER_PR_CHANGE)</f>
        <v>27-2139</v>
      </c>
      <c r="AE31" s="2364"/>
      <c r="AF31" s="2364"/>
      <c r="AG31" s="2364"/>
      <c r="AH31" s="2364"/>
      <c r="AI31" s="2364"/>
      <c r="AJ31" s="2364"/>
      <c r="AK31" s="439"/>
      <c r="AL31" s="439"/>
      <c r="AM31" s="393"/>
      <c r="AN31" s="481"/>
      <c r="AO31" s="481"/>
      <c r="AP31" s="481"/>
      <c r="AQ31" s="481"/>
      <c r="AR31" s="481"/>
      <c r="AS31" s="531">
        <v>0</v>
      </c>
    </row>
    <row s="560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04" customFormat="1" customHeight="1" ht="18.75">
      <c r="A34" s="1481"/>
      <c r="B34" s="1481"/>
      <c r="C34" s="1481"/>
      <c r="D34" s="1481"/>
      <c r="E34" s="1481"/>
      <c r="F34" s="1481"/>
      <c r="G34" s="1481"/>
      <c r="H34" s="1481"/>
      <c r="I34" s="1481"/>
      <c r="J34" s="1481"/>
      <c r="K34" s="1481"/>
      <c r="L34" s="1482"/>
      <c r="M34" s="1481"/>
      <c r="N34" s="1481"/>
      <c r="O34" s="1481"/>
      <c r="S34" s="2363" t="s">
        <v>516</v>
      </c>
      <c r="T34" s="2363"/>
      <c r="U34" s="1485"/>
      <c r="V34" s="2377" t="str">
        <f>IF(TITLE_DATE_PR_CHANGE="",IF(TITLE_DATE_PR="","",TITLE_DATE_PR),TITLE_DATE_PR_CHANGE)</f>
        <v>45408.605891203704</v>
      </c>
      <c r="W34" s="2377"/>
      <c r="X34" s="2377"/>
      <c r="Y34" s="2377"/>
      <c r="Z34" s="2377"/>
      <c r="AA34" s="2377"/>
      <c r="AB34" s="2377"/>
      <c r="AC34" s="439"/>
      <c r="AD34" s="2377" t="str">
        <f>IF(TITLE_DATE_PR_CHANGE="",IF(TITLE_DATE_PR="","",TITLE_DATE_PR),TITLE_DATE_PR_CHANGE)</f>
        <v>45408.605891203704</v>
      </c>
      <c r="AE34" s="2377"/>
      <c r="AF34" s="2377"/>
      <c r="AG34" s="2377"/>
      <c r="AH34" s="2377"/>
      <c r="AI34" s="2377"/>
      <c r="AJ34" s="2377"/>
      <c r="AK34" s="439"/>
      <c r="AL34" s="439"/>
      <c r="AM34" s="393"/>
      <c r="AN34" s="481"/>
      <c r="AO34" s="481"/>
      <c r="AP34" s="481"/>
      <c r="AQ34" s="481"/>
      <c r="AR34" s="481"/>
      <c r="AS34" s="531">
        <v>0</v>
      </c>
    </row>
    <row s="5604" customFormat="1" customHeight="1" ht="18.75">
      <c r="A35" s="1481"/>
      <c r="B35" s="1481"/>
      <c r="C35" s="1481"/>
      <c r="D35" s="1481"/>
      <c r="E35" s="1481"/>
      <c r="F35" s="1481"/>
      <c r="G35" s="1481"/>
      <c r="H35" s="1481"/>
      <c r="I35" s="1481"/>
      <c r="J35" s="1481"/>
      <c r="K35" s="1481"/>
      <c r="L35" s="1482"/>
      <c r="M35" s="1481"/>
      <c r="N35" s="1481"/>
      <c r="O35" s="1481"/>
      <c r="S35" s="2363" t="s">
        <v>517</v>
      </c>
      <c r="T35" s="2363"/>
      <c r="U35" s="1485"/>
      <c r="V35" s="2364" t="str">
        <f>IF(TITLE_NUMBER_PR_CHANGE="",IF(TITLE_NUMBER_PR="","",TITLE_NUMBER_PR),TITLE_NUMBER_PR_CHANGE)</f>
        <v>27-2139</v>
      </c>
      <c r="W35" s="2364"/>
      <c r="X35" s="2364"/>
      <c r="Y35" s="2364"/>
      <c r="Z35" s="2364"/>
      <c r="AA35" s="2364"/>
      <c r="AB35" s="2364"/>
      <c r="AC35" s="439"/>
      <c r="AD35" s="2364" t="str">
        <f>IF(TITLE_NUMBER_PR_CHANGE="",IF(TITLE_NUMBER_PR="","",TITLE_NUMBER_PR),TITLE_NUMBER_PR_CHANGE)</f>
        <v>27-2139</v>
      </c>
      <c r="AE35" s="2364"/>
      <c r="AF35" s="2364"/>
      <c r="AG35" s="2364"/>
      <c r="AH35" s="2364"/>
      <c r="AI35" s="2364"/>
      <c r="AJ35" s="2364"/>
      <c r="AK35" s="439"/>
      <c r="AL35" s="439"/>
      <c r="AM35" s="393"/>
      <c r="AN35" s="481"/>
      <c r="AO35" s="481"/>
      <c r="AP35" s="481"/>
      <c r="AQ35" s="481"/>
      <c r="AR35" s="481"/>
      <c r="AS35" s="531">
        <v>0</v>
      </c>
    </row>
    <row s="560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518</v>
      </c>
      <c r="AD36" s="439"/>
      <c r="AE36" s="439"/>
      <c r="AF36" s="439"/>
      <c r="AG36" s="439"/>
      <c r="AH36" s="439"/>
      <c r="AI36" s="439"/>
      <c r="AJ36" s="439"/>
      <c r="AK36" s="391" t="s">
        <v>518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393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394</v>
      </c>
      <c r="AS38" s="1268">
        <v>14</v>
      </c>
    </row>
    <row customHeight="1" ht="14.699999999999998">
      <c r="Q39" s="489"/>
      <c r="R39" s="489"/>
      <c r="S39" s="2386" t="s">
        <v>88</v>
      </c>
      <c r="T39" s="2322" t="s">
        <v>519</v>
      </c>
      <c r="U39" s="414"/>
      <c r="V39" s="2387" t="s">
        <v>520</v>
      </c>
      <c r="W39" s="2388"/>
      <c r="X39" s="2388"/>
      <c r="Y39" s="2388"/>
      <c r="Z39" s="2388"/>
      <c r="AA39" s="2388"/>
      <c r="AB39" s="2389"/>
      <c r="AC39" s="2390" t="s">
        <v>521</v>
      </c>
      <c r="AD39" s="2387" t="s">
        <v>520</v>
      </c>
      <c r="AE39" s="2388"/>
      <c r="AF39" s="2388"/>
      <c r="AG39" s="2388"/>
      <c r="AH39" s="2388"/>
      <c r="AI39" s="2388"/>
      <c r="AJ39" s="2389"/>
      <c r="AK39" s="2390" t="s">
        <v>522</v>
      </c>
      <c r="AL39" s="2393" t="s">
        <v>523</v>
      </c>
      <c r="AM39" s="2240"/>
      <c r="AS39" s="1268">
        <v>14</v>
      </c>
    </row>
    <row customHeight="1" ht="35.699999999999996">
      <c r="Q40" s="489"/>
      <c r="R40" s="489"/>
      <c r="S40" s="2386"/>
      <c r="T40" s="2322"/>
      <c r="U40" s="1144"/>
      <c r="V40" s="2373" t="s">
        <v>524</v>
      </c>
      <c r="W40" s="2396"/>
      <c r="X40" s="2375" t="s">
        <v>526</v>
      </c>
      <c r="Y40" s="2376"/>
      <c r="Z40" s="2375" t="s">
        <v>527</v>
      </c>
      <c r="AA40" s="2382"/>
      <c r="AB40" s="2376"/>
      <c r="AC40" s="2391"/>
      <c r="AD40" s="2373" t="s">
        <v>540</v>
      </c>
      <c r="AE40" s="2396"/>
      <c r="AF40" s="2375" t="s">
        <v>526</v>
      </c>
      <c r="AG40" s="2376"/>
      <c r="AH40" s="2375" t="s">
        <v>527</v>
      </c>
      <c r="AI40" s="2382"/>
      <c r="AJ40" s="2376"/>
      <c r="AK40" s="2391"/>
      <c r="AL40" s="2394"/>
      <c r="AM40" s="2240"/>
      <c r="AS40" s="1268">
        <v>34</v>
      </c>
    </row>
    <row customHeight="1" ht="35.699999999999996">
      <c r="A41" s="1483"/>
      <c r="B41" s="1483" t="s">
        <v>167</v>
      </c>
      <c r="C41" s="1483" t="s">
        <v>168</v>
      </c>
      <c r="D41" s="1483" t="s">
        <v>169</v>
      </c>
      <c r="E41" s="1477" t="s">
        <v>528</v>
      </c>
      <c r="F41" s="1477" t="s">
        <v>529</v>
      </c>
      <c r="G41" s="1477" t="s">
        <v>530</v>
      </c>
      <c r="H41" s="1477" t="s">
        <v>531</v>
      </c>
      <c r="I41" s="1477" t="s">
        <v>532</v>
      </c>
      <c r="J41" s="1477" t="s">
        <v>533</v>
      </c>
      <c r="K41" s="1477" t="s">
        <v>534</v>
      </c>
      <c r="L41" s="1477" t="s">
        <v>509</v>
      </c>
      <c r="Q41" s="489"/>
      <c r="R41" s="489"/>
      <c r="S41" s="2386"/>
      <c r="T41" s="2322"/>
      <c r="U41" s="415"/>
      <c r="V41" s="2374"/>
      <c r="W41" s="2397"/>
      <c r="X41" s="1335" t="s">
        <v>535</v>
      </c>
      <c r="Y41" s="1335" t="s">
        <v>536</v>
      </c>
      <c r="Z41" s="1451" t="s">
        <v>537</v>
      </c>
      <c r="AA41" s="2383" t="s">
        <v>538</v>
      </c>
      <c r="AB41" s="2384"/>
      <c r="AC41" s="2392"/>
      <c r="AD41" s="2374"/>
      <c r="AE41" s="2397"/>
      <c r="AF41" s="1335" t="s">
        <v>535</v>
      </c>
      <c r="AG41" s="1335" t="s">
        <v>536</v>
      </c>
      <c r="AH41" s="1451" t="s">
        <v>537</v>
      </c>
      <c r="AI41" s="2383" t="s">
        <v>538</v>
      </c>
      <c r="AJ41" s="2384"/>
      <c r="AK41" s="2392"/>
      <c r="AL41" s="2395"/>
      <c r="AM41" s="2240"/>
      <c r="AS41" s="1268">
        <v>34</v>
      </c>
    </row>
    <row s="607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136</v>
      </c>
      <c r="T42" s="1368" t="s">
        <v>103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211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155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211</v>
      </c>
      <c r="B44" s="1476" t="s">
        <v>212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490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491</v>
      </c>
      <c r="AO44" s="613"/>
      <c r="AP44" s="613" t="str">
        <f>IF(T44="","",T44)</f>
        <v>Территория действия тарифа</v>
      </c>
      <c r="AQ44" s="613"/>
      <c r="AR44" s="613"/>
      <c r="AS44" s="1268">
        <v>21</v>
      </c>
    </row>
    <row customHeight="1" ht="24">
      <c r="A45" s="1476" t="s">
        <v>211</v>
      </c>
      <c r="B45" s="1476" t="s">
        <v>212</v>
      </c>
      <c r="C45" s="1476" t="s">
        <v>213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492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493</v>
      </c>
      <c r="AO45" s="613"/>
      <c r="AP45" s="613" t="str">
        <f>IF(T45="","",T45)</f>
        <v>Наименование системы теплоснабжения </v>
      </c>
      <c r="AQ45" s="613"/>
      <c r="AR45" s="613"/>
      <c r="AS45" s="1268">
        <v>23</v>
      </c>
    </row>
    <row customHeight="1" ht="22.049999999999997">
      <c r="A46" s="1476" t="s">
        <v>211</v>
      </c>
      <c r="B46" s="1476" t="s">
        <v>212</v>
      </c>
      <c r="C46" s="1476" t="s">
        <v>213</v>
      </c>
      <c r="D46" s="1476" t="s">
        <v>214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494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495</v>
      </c>
      <c r="AO46" s="613"/>
      <c r="AP46" s="613" t="str">
        <f>IF(T46="","",T46)</f>
        <v>Источник тепловой энергии  </v>
      </c>
      <c r="AQ46" s="613"/>
      <c r="AR46" s="613"/>
      <c r="AS46" s="1268">
        <v>21</v>
      </c>
    </row>
    <row s="5468" customFormat="1" customHeight="1" ht="0">
      <c r="A47" s="1456" t="s">
        <v>211</v>
      </c>
      <c r="B47" s="1456" t="s">
        <v>212</v>
      </c>
      <c r="C47" s="1456" t="s">
        <v>213</v>
      </c>
      <c r="D47" s="1456" t="s">
        <v>214</v>
      </c>
      <c r="E47" s="2372"/>
      <c r="F47" s="2372"/>
      <c r="G47" s="2372"/>
      <c r="H47" s="2372"/>
      <c r="I47" s="2369" t="str">
        <f>S46&amp;".1"</f>
        <v>....1</v>
      </c>
      <c r="J47" s="1456"/>
      <c r="K47" s="1456"/>
      <c r="L47" s="1459" t="s">
        <v>496</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211</v>
      </c>
      <c r="B48" s="1476" t="s">
        <v>212</v>
      </c>
      <c r="C48" s="1476" t="s">
        <v>213</v>
      </c>
      <c r="D48" s="1476" t="s">
        <v>214</v>
      </c>
      <c r="E48" s="2372"/>
      <c r="F48" s="2372"/>
      <c r="G48" s="2372"/>
      <c r="H48" s="2372"/>
      <c r="I48" s="2399"/>
      <c r="J48" s="2369" t="str">
        <f>S46&amp;".1"</f>
        <v>....1</v>
      </c>
      <c r="K48" s="1476"/>
      <c r="L48" s="1477" t="s">
        <v>499</v>
      </c>
      <c r="P48" s="2370"/>
      <c r="Q48" s="2370">
        <v>1</v>
      </c>
      <c r="R48" s="470"/>
      <c r="S48" s="1449" t="str">
        <f>$J48</f>
        <v>....1</v>
      </c>
      <c r="T48" s="399" t="s">
        <v>500</v>
      </c>
      <c r="U48" s="413"/>
      <c r="V48" s="2358"/>
      <c r="W48" s="2359"/>
      <c r="X48" s="2359"/>
      <c r="Y48" s="2359"/>
      <c r="Z48" s="2359"/>
      <c r="AA48" s="2359"/>
      <c r="AB48" s="2359"/>
      <c r="AC48" s="2360"/>
      <c r="AD48" s="2358"/>
      <c r="AE48" s="2359"/>
      <c r="AF48" s="2359"/>
      <c r="AG48" s="2359"/>
      <c r="AH48" s="2359"/>
      <c r="AI48" s="2359"/>
      <c r="AJ48" s="2359"/>
      <c r="AK48" s="2359"/>
      <c r="AL48" s="2360"/>
      <c r="AM48" s="1371" t="s">
        <v>501</v>
      </c>
      <c r="AO48" s="613"/>
      <c r="AP48" s="613" t="str">
        <f>IF(T48="","",T48)</f>
        <v>Группа потребителей</v>
      </c>
      <c r="AQ48" s="613"/>
      <c r="AR48" s="613"/>
      <c r="AS48" s="1268">
        <v>21</v>
      </c>
    </row>
    <row customHeight="1" ht="22.049999999999997">
      <c r="A49" s="1476" t="s">
        <v>211</v>
      </c>
      <c r="B49" s="1476" t="s">
        <v>212</v>
      </c>
      <c r="C49" s="1476" t="s">
        <v>213</v>
      </c>
      <c r="D49" s="1476" t="s">
        <v>214</v>
      </c>
      <c r="E49" s="2372"/>
      <c r="F49" s="2372"/>
      <c r="G49" s="2372"/>
      <c r="H49" s="2372"/>
      <c r="I49" s="2399"/>
      <c r="J49" s="2399"/>
      <c r="K49" s="2369" t="str">
        <f>J48&amp;".1"</f>
        <v>....1.1</v>
      </c>
      <c r="L49" s="1477" t="s">
        <v>502</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541</v>
      </c>
      <c r="AN49" s="624">
        <f>STRCHECKDATE(V50:AL50)</f>
      </c>
      <c r="AO49" s="613"/>
      <c r="AP49" s="613" t="str">
        <f>IF(T49="","",T49)</f>
        <v/>
      </c>
      <c r="AQ49" s="613"/>
      <c r="AR49" s="613"/>
      <c r="AS49" s="1268">
        <v>21</v>
      </c>
    </row>
    <row customHeight="1" ht="1.05">
      <c r="A50" s="1476" t="s">
        <v>211</v>
      </c>
      <c r="B50" s="1476" t="s">
        <v>212</v>
      </c>
      <c r="C50" s="1476" t="s">
        <v>213</v>
      </c>
      <c r="D50" s="1476" t="s">
        <v>214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211</v>
      </c>
      <c r="B51" s="1476" t="s">
        <v>212</v>
      </c>
      <c r="C51" s="1476" t="s">
        <v>213</v>
      </c>
      <c r="D51" s="1476" t="s">
        <v>214</v>
      </c>
      <c r="E51" s="2372"/>
      <c r="F51" s="2372"/>
      <c r="G51" s="2372"/>
      <c r="H51" s="2372"/>
      <c r="I51" s="2399"/>
      <c r="J51" s="2369"/>
      <c r="K51" s="1476"/>
      <c r="L51" s="1477"/>
      <c r="P51" s="2370"/>
      <c r="Q51" s="2370"/>
      <c r="R51" s="469"/>
      <c r="S51" s="1391"/>
      <c r="T51" s="400" t="s">
        <v>504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211</v>
      </c>
      <c r="B52" s="1476" t="s">
        <v>212</v>
      </c>
      <c r="C52" s="1476" t="s">
        <v>213</v>
      </c>
      <c r="D52" s="1476" t="s">
        <v>214</v>
      </c>
      <c r="E52" s="2372"/>
      <c r="F52" s="2372"/>
      <c r="G52" s="2372"/>
      <c r="H52" s="2372"/>
      <c r="I52" s="2369"/>
      <c r="J52" s="1476"/>
      <c r="K52" s="1476"/>
      <c r="L52" s="1477"/>
      <c r="P52" s="2370"/>
      <c r="Q52" s="1444"/>
      <c r="R52" s="469"/>
      <c r="S52" s="1391"/>
      <c r="T52" s="478" t="s">
        <v>505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211</v>
      </c>
      <c r="B53" s="1476" t="s">
        <v>212</v>
      </c>
      <c r="C53" s="1476" t="s">
        <v>213</v>
      </c>
      <c r="D53" s="1476" t="s">
        <v>214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8" customFormat="1" customHeight="1" ht="1.05">
      <c r="A54" s="1456" t="s">
        <v>211</v>
      </c>
      <c r="B54" s="1456" t="s">
        <v>212</v>
      </c>
      <c r="C54" s="1456" t="s">
        <v>213</v>
      </c>
      <c r="D54" s="1427"/>
      <c r="E54" s="2372"/>
      <c r="F54" s="2372"/>
      <c r="G54" s="2371"/>
      <c r="H54" s="1427"/>
      <c r="I54" s="1427"/>
      <c r="J54" s="1427"/>
      <c r="K54" s="1427"/>
      <c r="L54" s="1452"/>
      <c r="M54" s="1428"/>
      <c r="N54" s="1428"/>
      <c r="P54" s="1429"/>
      <c r="Q54" s="1430"/>
      <c r="R54" s="1429"/>
      <c r="S54" s="1435"/>
      <c r="T54" s="1438" t="s">
        <v>507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8" customFormat="1" customHeight="1" ht="1.05">
      <c r="A55" s="1456" t="s">
        <v>211</v>
      </c>
      <c r="B55" s="1456" t="s">
        <v>212</v>
      </c>
      <c r="C55" s="1427"/>
      <c r="D55" s="1427"/>
      <c r="E55" s="2372"/>
      <c r="F55" s="2371"/>
      <c r="G55" s="1427"/>
      <c r="H55" s="1427"/>
      <c r="I55" s="1427"/>
      <c r="J55" s="1427"/>
      <c r="K55" s="1427"/>
      <c r="L55" s="1452"/>
      <c r="M55" s="1434"/>
      <c r="N55" s="1434"/>
      <c r="P55" s="1429"/>
      <c r="Q55" s="1430"/>
      <c r="R55" s="1429"/>
      <c r="S55" s="1435"/>
      <c r="T55" s="1438" t="s">
        <v>312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8" customFormat="1" customHeight="1" ht="1.05">
      <c r="A56" s="1456" t="s">
        <v>211</v>
      </c>
      <c r="B56" s="1456"/>
      <c r="C56" s="1456"/>
      <c r="D56" s="1456"/>
      <c r="E56" s="2371"/>
      <c r="F56" s="1456"/>
      <c r="G56" s="1456"/>
      <c r="H56" s="1456"/>
      <c r="I56" s="1456"/>
      <c r="J56" s="1456"/>
      <c r="K56" s="1456"/>
      <c r="L56" s="1459"/>
      <c r="M56" s="1434"/>
      <c r="N56" s="1434"/>
      <c r="O56" s="631"/>
      <c r="P56" s="493"/>
      <c r="Q56" s="1457"/>
      <c r="R56" s="493"/>
      <c r="S56" s="1435"/>
      <c r="T56" s="1438" t="s">
        <v>360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361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50C8C-D077-7BF6-7303-30369CA8ECF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67" width="10.57421875" hidden="1"/>
    <col min="2" max="2" style="5467" width="11.00390625" hidden="1" customWidth="1"/>
    <col min="3" max="3" style="5467" width="10.57421875" hidden="1"/>
    <col min="4" max="4" style="5467" width="11.8515625" hidden="1" customWidth="1"/>
    <col min="5" max="5" style="5467" width="10.00390625" hidden="1" customWidth="1"/>
    <col min="6" max="6" style="5467" width="8.7109375" hidden="1" customWidth="1"/>
    <col min="7" max="7" style="5467" width="7.57421875" hidden="1" customWidth="1"/>
    <col min="8" max="8" style="5467" width="11.421875" hidden="1" customWidth="1"/>
    <col min="9" max="9" style="5467" width="12.00390625" hidden="1" customWidth="1"/>
    <col min="10" max="10" style="5467" width="9.8515625" hidden="1" customWidth="1"/>
    <col min="11" max="11" style="5467" width="11.421875" hidden="1" customWidth="1"/>
    <col min="12" max="12" style="6316" width="19.140625" hidden="1" customWidth="1"/>
    <col min="13" max="14" style="6317" width="12.28125" hidden="1" customWidth="1"/>
    <col min="15" max="15" style="6317" width="23.421875" hidden="1" customWidth="1"/>
    <col min="16" max="16" style="6318" width="3.7109375" hidden="1" customWidth="1"/>
    <col min="17" max="18" style="6319" width="3.00390625" customWidth="1"/>
    <col min="19" max="19" style="6320" width="12.00390625" customWidth="1"/>
    <col min="20" max="20" style="5387" width="31.00390625" customWidth="1"/>
    <col min="21" max="21" style="5387" width="0.140625" customWidth="1"/>
    <col min="22" max="22" style="5387" width="24.7109375" hidden="1" customWidth="1"/>
    <col min="23" max="23" style="5387" width="0.140625" hidden="1" customWidth="1"/>
    <col min="24" max="25" style="5387" width="24.7109375" hidden="1" customWidth="1"/>
    <col min="26" max="26" style="5387" width="11.7109375" hidden="1" customWidth="1"/>
    <col min="27" max="27" style="5387" width="3.7109375" hidden="1" customWidth="1"/>
    <col min="28" max="28" style="5387" width="11.7109375" hidden="1" customWidth="1"/>
    <col min="29" max="29" style="5387" width="8.57421875" hidden="1" customWidth="1"/>
    <col min="30" max="30" style="5387" width="24.7109375" customWidth="1"/>
    <col min="31" max="31" style="5387" width="0.140625" customWidth="1"/>
    <col min="32" max="33" style="5387" width="24.00390625" customWidth="1"/>
    <col min="34" max="34" style="5387" width="11.00390625" customWidth="1"/>
    <col min="35" max="35" style="5387" width="3.7109375" customWidth="1"/>
    <col min="36" max="36" style="5387" width="11.00390625" customWidth="1"/>
    <col min="37" max="37" style="5387" width="8.57421875" hidden="1" customWidth="1"/>
    <col min="38" max="38" style="5387" width="4.00390625" customWidth="1"/>
    <col min="39" max="39" style="5387" width="115.00390625" customWidth="1"/>
    <col min="40" max="44" style="5468" width="10.00390625" customWidth="1"/>
    <col min="45" max="45" style="538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155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489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490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491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492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493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494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495</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496</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499</v>
      </c>
      <c r="M7" s="650"/>
      <c r="N7" s="1479"/>
      <c r="P7" s="2370"/>
      <c r="Q7" s="2370">
        <v>1</v>
      </c>
      <c r="R7" s="470"/>
      <c r="S7" s="1449">
        <f>$J7</f>
      </c>
      <c r="T7" s="399" t="s">
        <v>500</v>
      </c>
      <c r="U7" s="413"/>
      <c r="V7" s="2358"/>
      <c r="W7" s="2359"/>
      <c r="X7" s="2359"/>
      <c r="Y7" s="2359"/>
      <c r="Z7" s="2359"/>
      <c r="AA7" s="2359"/>
      <c r="AB7" s="2359"/>
      <c r="AC7" s="2360"/>
      <c r="AD7" s="2358"/>
      <c r="AE7" s="2359"/>
      <c r="AF7" s="2359"/>
      <c r="AG7" s="2359"/>
      <c r="AH7" s="2359"/>
      <c r="AI7" s="2359"/>
      <c r="AJ7" s="2359"/>
      <c r="AK7" s="2359"/>
      <c r="AL7" s="2360"/>
      <c r="AM7" s="1371" t="s">
        <v>501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502</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503</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504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505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8"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507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8"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312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8"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360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7" customFormat="1" customHeight="1" ht="22.5" hidden="1">
      <c r="L20" s="1442"/>
      <c r="M20" s="1475"/>
      <c r="N20" s="1475"/>
      <c r="O20" s="1480" t="s">
        <v>508</v>
      </c>
      <c r="P20" s="1475"/>
      <c r="Q20" s="1484"/>
      <c r="R20" s="1484"/>
      <c r="S20" s="842"/>
      <c r="Z20" s="1480"/>
      <c r="AB20" s="1480"/>
      <c r="AC20" s="1479"/>
      <c r="AH20" s="1480"/>
      <c r="AJ20" s="1480"/>
      <c r="AK20" s="1479"/>
      <c r="AN20" s="624"/>
      <c r="AO20" s="624"/>
      <c r="AP20" s="624"/>
      <c r="AQ20" s="624"/>
      <c r="AR20" s="624"/>
      <c r="AS20" s="1273">
        <v>0</v>
      </c>
    </row>
    <row s="5467" customFormat="1" customHeight="1" ht="14.25" hidden="1">
      <c r="L21" s="1442"/>
      <c r="M21" s="1475"/>
      <c r="N21" s="1475"/>
      <c r="O21" s="1475"/>
      <c r="P21" s="1475"/>
      <c r="Q21" s="1484"/>
      <c r="R21" s="1484"/>
      <c r="S21" s="842"/>
      <c r="AC21" s="1479"/>
      <c r="AK21" s="1479"/>
      <c r="AN21" s="624"/>
      <c r="AO21" s="624"/>
      <c r="AP21" s="624"/>
      <c r="AQ21" s="624"/>
      <c r="AR21" s="624"/>
      <c r="AS21" s="1273">
        <v>0</v>
      </c>
    </row>
    <row s="5467" customFormat="1" customHeight="1" ht="14.25" hidden="1">
      <c r="L22" s="1442"/>
      <c r="M22" s="1475"/>
      <c r="N22" s="1475"/>
      <c r="O22" s="1477" t="s">
        <v>509</v>
      </c>
      <c r="P22" s="1475"/>
      <c r="Q22" s="1484"/>
      <c r="R22" s="1484"/>
      <c r="S22" s="842"/>
      <c r="T22" s="1273" t="s">
        <v>510</v>
      </c>
      <c r="AA22" s="299" t="s">
        <v>511</v>
      </c>
      <c r="AC22" s="299" t="s">
        <v>512</v>
      </c>
      <c r="AD22" s="1273" t="s">
        <v>510</v>
      </c>
      <c r="AI22" s="299" t="s">
        <v>513</v>
      </c>
      <c r="AK22" s="299" t="s">
        <v>512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0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04" customFormat="1" customHeight="1" ht="18.75" hidden="1">
      <c r="A30" s="1481"/>
      <c r="B30" s="1481"/>
      <c r="C30" s="1481"/>
      <c r="D30" s="1481"/>
      <c r="E30" s="1481"/>
      <c r="F30" s="1481"/>
      <c r="G30" s="1481"/>
      <c r="H30" s="1481"/>
      <c r="I30" s="1481"/>
      <c r="J30" s="1481"/>
      <c r="K30" s="1481"/>
      <c r="L30" s="1482"/>
      <c r="M30" s="1481"/>
      <c r="N30" s="1481"/>
      <c r="O30" s="1481"/>
      <c r="S30" s="2363" t="s">
        <v>514</v>
      </c>
      <c r="T30" s="2363"/>
      <c r="U30" s="1485"/>
      <c r="V30" s="2377" t="str">
        <f>IF(TITLE_DATE_PR_CHANGE="",IF(TITLE_DATE_PR="","",TITLE_DATE_PR),TITLE_DATE_PR_CHANGE)</f>
        <v>45408.605891203704</v>
      </c>
      <c r="W30" s="2377"/>
      <c r="X30" s="2377"/>
      <c r="Y30" s="2377"/>
      <c r="Z30" s="2377"/>
      <c r="AA30" s="2377"/>
      <c r="AB30" s="2377"/>
      <c r="AC30" s="439"/>
      <c r="AD30" s="2377" t="str">
        <f>IF(TITLE_DATE_PR_CHANGE="",IF(TITLE_DATE_PR="","",TITLE_DATE_PR),TITLE_DATE_PR_CHANGE)</f>
        <v>45408.605891203704</v>
      </c>
      <c r="AE30" s="2377"/>
      <c r="AF30" s="2377"/>
      <c r="AG30" s="2377"/>
      <c r="AH30" s="2377"/>
      <c r="AI30" s="2377"/>
      <c r="AJ30" s="2377"/>
      <c r="AK30" s="439"/>
      <c r="AL30" s="439"/>
      <c r="AM30" s="393"/>
      <c r="AN30" s="481"/>
      <c r="AO30" s="481"/>
      <c r="AP30" s="481"/>
      <c r="AQ30" s="481"/>
      <c r="AR30" s="481"/>
      <c r="AS30" s="531">
        <v>0</v>
      </c>
    </row>
    <row s="5604" customFormat="1" customHeight="1" ht="18.75" hidden="1">
      <c r="A31" s="1481"/>
      <c r="B31" s="1481"/>
      <c r="C31" s="1481"/>
      <c r="D31" s="1481"/>
      <c r="E31" s="1481"/>
      <c r="F31" s="1481"/>
      <c r="G31" s="1481"/>
      <c r="H31" s="1481"/>
      <c r="I31" s="1481"/>
      <c r="J31" s="1481"/>
      <c r="K31" s="1481"/>
      <c r="L31" s="1482"/>
      <c r="M31" s="1481"/>
      <c r="N31" s="1481"/>
      <c r="O31" s="1481"/>
      <c r="S31" s="2363" t="s">
        <v>515</v>
      </c>
      <c r="T31" s="2363"/>
      <c r="U31" s="1485"/>
      <c r="V31" s="2364" t="str">
        <f>IF(TITLE_NUMBER_PR_CHANGE="",IF(TITLE_NUMBER_PR="","",TITLE_NUMBER_PR),TITLE_NUMBER_PR_CHANGE)</f>
        <v>27-2139</v>
      </c>
      <c r="W31" s="2364"/>
      <c r="X31" s="2364"/>
      <c r="Y31" s="2364"/>
      <c r="Z31" s="2364"/>
      <c r="AA31" s="2364"/>
      <c r="AB31" s="2364"/>
      <c r="AC31" s="439"/>
      <c r="AD31" s="2364" t="str">
        <f>IF(TITLE_NUMBER_PR_CHANGE="",IF(TITLE_NUMBER_PR="","",TITLE_NUMBER_PR),TITLE_NUMBER_PR_CHANGE)</f>
        <v>27-2139</v>
      </c>
      <c r="AE31" s="2364"/>
      <c r="AF31" s="2364"/>
      <c r="AG31" s="2364"/>
      <c r="AH31" s="2364"/>
      <c r="AI31" s="2364"/>
      <c r="AJ31" s="2364"/>
      <c r="AK31" s="439"/>
      <c r="AL31" s="439"/>
      <c r="AM31" s="393"/>
      <c r="AN31" s="481"/>
      <c r="AO31" s="481"/>
      <c r="AP31" s="481"/>
      <c r="AQ31" s="481"/>
      <c r="AR31" s="481"/>
      <c r="AS31" s="531">
        <v>0</v>
      </c>
    </row>
    <row s="560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04" customFormat="1" customHeight="1" ht="18.75">
      <c r="A34" s="1481"/>
      <c r="B34" s="1481"/>
      <c r="C34" s="1481"/>
      <c r="D34" s="1481"/>
      <c r="E34" s="1481"/>
      <c r="F34" s="1481"/>
      <c r="G34" s="1481"/>
      <c r="H34" s="1481"/>
      <c r="I34" s="1481"/>
      <c r="J34" s="1481"/>
      <c r="K34" s="1481"/>
      <c r="L34" s="1482"/>
      <c r="M34" s="1481"/>
      <c r="N34" s="1481"/>
      <c r="O34" s="1481"/>
      <c r="S34" s="2363" t="s">
        <v>516</v>
      </c>
      <c r="T34" s="2363"/>
      <c r="U34" s="1485"/>
      <c r="V34" s="2377" t="str">
        <f>IF(TITLE_DATE_PR_CHANGE="",IF(TITLE_DATE_PR="","",TITLE_DATE_PR),TITLE_DATE_PR_CHANGE)</f>
        <v>45408.605891203704</v>
      </c>
      <c r="W34" s="2377"/>
      <c r="X34" s="2377"/>
      <c r="Y34" s="2377"/>
      <c r="Z34" s="2377"/>
      <c r="AA34" s="2377"/>
      <c r="AB34" s="2377"/>
      <c r="AC34" s="439"/>
      <c r="AD34" s="2377" t="str">
        <f>IF(TITLE_DATE_PR_CHANGE="",IF(TITLE_DATE_PR="","",TITLE_DATE_PR),TITLE_DATE_PR_CHANGE)</f>
        <v>45408.605891203704</v>
      </c>
      <c r="AE34" s="2377"/>
      <c r="AF34" s="2377"/>
      <c r="AG34" s="2377"/>
      <c r="AH34" s="2377"/>
      <c r="AI34" s="2377"/>
      <c r="AJ34" s="2377"/>
      <c r="AK34" s="439"/>
      <c r="AL34" s="439"/>
      <c r="AM34" s="393"/>
      <c r="AN34" s="481"/>
      <c r="AO34" s="481"/>
      <c r="AP34" s="481"/>
      <c r="AQ34" s="481"/>
      <c r="AR34" s="481"/>
      <c r="AS34" s="531">
        <v>0</v>
      </c>
    </row>
    <row s="5604" customFormat="1" customHeight="1" ht="25.5">
      <c r="A35" s="1481"/>
      <c r="B35" s="1481"/>
      <c r="C35" s="1481"/>
      <c r="D35" s="1481"/>
      <c r="E35" s="1481"/>
      <c r="F35" s="1481"/>
      <c r="G35" s="1481"/>
      <c r="H35" s="1481"/>
      <c r="I35" s="1481"/>
      <c r="J35" s="1481"/>
      <c r="K35" s="1481"/>
      <c r="L35" s="1482"/>
      <c r="M35" s="1481"/>
      <c r="N35" s="1481"/>
      <c r="O35" s="1481"/>
      <c r="S35" s="2363" t="s">
        <v>517</v>
      </c>
      <c r="T35" s="2363"/>
      <c r="U35" s="1485"/>
      <c r="V35" s="2364" t="str">
        <f>IF(TITLE_NUMBER_PR_CHANGE="",IF(TITLE_NUMBER_PR="","",TITLE_NUMBER_PR),TITLE_NUMBER_PR_CHANGE)</f>
        <v>27-2139</v>
      </c>
      <c r="W35" s="2364"/>
      <c r="X35" s="2364"/>
      <c r="Y35" s="2364"/>
      <c r="Z35" s="2364"/>
      <c r="AA35" s="2364"/>
      <c r="AB35" s="2364"/>
      <c r="AC35" s="439"/>
      <c r="AD35" s="2364" t="str">
        <f>IF(TITLE_NUMBER_PR_CHANGE="",IF(TITLE_NUMBER_PR="","",TITLE_NUMBER_PR),TITLE_NUMBER_PR_CHANGE)</f>
        <v>27-2139</v>
      </c>
      <c r="AE35" s="2364"/>
      <c r="AF35" s="2364"/>
      <c r="AG35" s="2364"/>
      <c r="AH35" s="2364"/>
      <c r="AI35" s="2364"/>
      <c r="AJ35" s="2364"/>
      <c r="AK35" s="439"/>
      <c r="AL35" s="439"/>
      <c r="AM35" s="393"/>
      <c r="AN35" s="481"/>
      <c r="AO35" s="481"/>
      <c r="AP35" s="481"/>
      <c r="AQ35" s="481"/>
      <c r="AR35" s="481"/>
      <c r="AS35" s="531">
        <v>0</v>
      </c>
    </row>
    <row s="560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518</v>
      </c>
      <c r="AD36" s="439"/>
      <c r="AE36" s="439"/>
      <c r="AF36" s="439"/>
      <c r="AG36" s="439"/>
      <c r="AH36" s="439"/>
      <c r="AI36" s="439"/>
      <c r="AJ36" s="439"/>
      <c r="AK36" s="391" t="s">
        <v>518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393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394</v>
      </c>
      <c r="AS38" s="1268">
        <v>14</v>
      </c>
    </row>
    <row customHeight="1" ht="14.699999999999998">
      <c r="Q39" s="489"/>
      <c r="R39" s="489"/>
      <c r="S39" s="2386" t="s">
        <v>88</v>
      </c>
      <c r="T39" s="2322" t="s">
        <v>519</v>
      </c>
      <c r="U39" s="414"/>
      <c r="V39" s="2387" t="s">
        <v>520</v>
      </c>
      <c r="W39" s="2388"/>
      <c r="X39" s="2388"/>
      <c r="Y39" s="2388"/>
      <c r="Z39" s="2388"/>
      <c r="AA39" s="2388"/>
      <c r="AB39" s="2389"/>
      <c r="AC39" s="2390" t="s">
        <v>521</v>
      </c>
      <c r="AD39" s="2387" t="s">
        <v>520</v>
      </c>
      <c r="AE39" s="2388"/>
      <c r="AF39" s="2388"/>
      <c r="AG39" s="2388"/>
      <c r="AH39" s="2388"/>
      <c r="AI39" s="2388"/>
      <c r="AJ39" s="2389"/>
      <c r="AK39" s="2390" t="s">
        <v>522</v>
      </c>
      <c r="AL39" s="2393" t="s">
        <v>523</v>
      </c>
      <c r="AM39" s="2240"/>
      <c r="AS39" s="1268">
        <v>14</v>
      </c>
    </row>
    <row customHeight="1" ht="35.699999999999996">
      <c r="Q40" s="489"/>
      <c r="R40" s="489"/>
      <c r="S40" s="2386"/>
      <c r="T40" s="2322"/>
      <c r="U40" s="1144"/>
      <c r="V40" s="2373" t="s">
        <v>524</v>
      </c>
      <c r="W40" s="2396"/>
      <c r="X40" s="2375" t="s">
        <v>526</v>
      </c>
      <c r="Y40" s="2376"/>
      <c r="Z40" s="2375" t="s">
        <v>527</v>
      </c>
      <c r="AA40" s="2382"/>
      <c r="AB40" s="2376"/>
      <c r="AC40" s="2391"/>
      <c r="AD40" s="2373" t="s">
        <v>540</v>
      </c>
      <c r="AE40" s="2396"/>
      <c r="AF40" s="2375" t="s">
        <v>526</v>
      </c>
      <c r="AG40" s="2376"/>
      <c r="AH40" s="2375" t="s">
        <v>527</v>
      </c>
      <c r="AI40" s="2382"/>
      <c r="AJ40" s="2376"/>
      <c r="AK40" s="2391"/>
      <c r="AL40" s="2394"/>
      <c r="AM40" s="2240"/>
      <c r="AS40" s="1268">
        <v>34</v>
      </c>
    </row>
    <row customHeight="1" ht="35.699999999999996">
      <c r="A41" s="1483"/>
      <c r="B41" s="1483" t="s">
        <v>167</v>
      </c>
      <c r="C41" s="1483" t="s">
        <v>168</v>
      </c>
      <c r="D41" s="1483" t="s">
        <v>169</v>
      </c>
      <c r="E41" s="1477" t="s">
        <v>528</v>
      </c>
      <c r="F41" s="1477" t="s">
        <v>529</v>
      </c>
      <c r="G41" s="1477" t="s">
        <v>530</v>
      </c>
      <c r="H41" s="1477" t="s">
        <v>531</v>
      </c>
      <c r="I41" s="1477" t="s">
        <v>532</v>
      </c>
      <c r="J41" s="1477" t="s">
        <v>533</v>
      </c>
      <c r="K41" s="1477" t="s">
        <v>534</v>
      </c>
      <c r="L41" s="1477" t="s">
        <v>509</v>
      </c>
      <c r="Q41" s="489"/>
      <c r="R41" s="489"/>
      <c r="S41" s="2386"/>
      <c r="T41" s="2322"/>
      <c r="U41" s="415"/>
      <c r="V41" s="2374"/>
      <c r="W41" s="2397"/>
      <c r="X41" s="1335" t="s">
        <v>535</v>
      </c>
      <c r="Y41" s="1335" t="s">
        <v>536</v>
      </c>
      <c r="Z41" s="1451" t="s">
        <v>537</v>
      </c>
      <c r="AA41" s="2383" t="s">
        <v>538</v>
      </c>
      <c r="AB41" s="2384"/>
      <c r="AC41" s="2392"/>
      <c r="AD41" s="2374"/>
      <c r="AE41" s="2397"/>
      <c r="AF41" s="1335" t="s">
        <v>535</v>
      </c>
      <c r="AG41" s="1335" t="s">
        <v>536</v>
      </c>
      <c r="AH41" s="1451" t="s">
        <v>537</v>
      </c>
      <c r="AI41" s="2383" t="s">
        <v>538</v>
      </c>
      <c r="AJ41" s="2384"/>
      <c r="AK41" s="2392"/>
      <c r="AL41" s="2395"/>
      <c r="AM41" s="2240"/>
      <c r="AS41" s="1268">
        <v>34</v>
      </c>
    </row>
    <row s="607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136</v>
      </c>
      <c r="T42" s="1368" t="s">
        <v>103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217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155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217</v>
      </c>
      <c r="B44" s="1476" t="s">
        <v>218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490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491</v>
      </c>
      <c r="AO44" s="613"/>
      <c r="AP44" s="613" t="str">
        <f>IF(T44="","",T44)</f>
        <v>Территория действия тарифа</v>
      </c>
      <c r="AQ44" s="613"/>
      <c r="AR44" s="613"/>
      <c r="AS44" s="1268">
        <v>21</v>
      </c>
    </row>
    <row customHeight="1" ht="24">
      <c r="A45" s="1476" t="s">
        <v>217</v>
      </c>
      <c r="B45" s="1476" t="s">
        <v>218</v>
      </c>
      <c r="C45" s="1476" t="s">
        <v>219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492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493</v>
      </c>
      <c r="AO45" s="613"/>
      <c r="AP45" s="613" t="str">
        <f>IF(T45="","",T45)</f>
        <v>Наименование системы теплоснабжения </v>
      </c>
      <c r="AQ45" s="613"/>
      <c r="AR45" s="613"/>
      <c r="AS45" s="1268">
        <v>23</v>
      </c>
    </row>
    <row customHeight="1" ht="22.049999999999997">
      <c r="A46" s="1476" t="s">
        <v>217</v>
      </c>
      <c r="B46" s="1476" t="s">
        <v>218</v>
      </c>
      <c r="C46" s="1476" t="s">
        <v>219</v>
      </c>
      <c r="D46" s="1476" t="s">
        <v>220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494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495</v>
      </c>
      <c r="AO46" s="613"/>
      <c r="AP46" s="613" t="str">
        <f>IF(T46="","",T46)</f>
        <v>Источник тепловой энергии  </v>
      </c>
      <c r="AQ46" s="613"/>
      <c r="AR46" s="613"/>
      <c r="AS46" s="1268">
        <v>21</v>
      </c>
    </row>
    <row s="5468" customFormat="1" customHeight="1" ht="0">
      <c r="A47" s="1456" t="s">
        <v>217</v>
      </c>
      <c r="B47" s="1456" t="s">
        <v>218</v>
      </c>
      <c r="C47" s="1456" t="s">
        <v>219</v>
      </c>
      <c r="D47" s="1456" t="s">
        <v>220</v>
      </c>
      <c r="E47" s="2372"/>
      <c r="F47" s="2372"/>
      <c r="G47" s="2372"/>
      <c r="H47" s="2372"/>
      <c r="I47" s="2369" t="str">
        <f>S46&amp;".1"</f>
        <v>....1</v>
      </c>
      <c r="J47" s="1456"/>
      <c r="K47" s="1456"/>
      <c r="L47" s="1459" t="s">
        <v>496</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217</v>
      </c>
      <c r="B48" s="1476" t="s">
        <v>218</v>
      </c>
      <c r="C48" s="1476" t="s">
        <v>219</v>
      </c>
      <c r="D48" s="1476" t="s">
        <v>220</v>
      </c>
      <c r="E48" s="2372"/>
      <c r="F48" s="2372"/>
      <c r="G48" s="2372"/>
      <c r="H48" s="2372"/>
      <c r="I48" s="2399"/>
      <c r="J48" s="2369" t="str">
        <f>S46&amp;".1"</f>
        <v>....1</v>
      </c>
      <c r="K48" s="1476"/>
      <c r="L48" s="1477" t="s">
        <v>499</v>
      </c>
      <c r="P48" s="2370"/>
      <c r="Q48" s="2370">
        <v>1</v>
      </c>
      <c r="R48" s="470"/>
      <c r="S48" s="1449" t="str">
        <f>$J48</f>
        <v>....1</v>
      </c>
      <c r="T48" s="399" t="s">
        <v>500</v>
      </c>
      <c r="U48" s="413"/>
      <c r="V48" s="2358"/>
      <c r="W48" s="2359"/>
      <c r="X48" s="2359"/>
      <c r="Y48" s="2359"/>
      <c r="Z48" s="2359"/>
      <c r="AA48" s="2359"/>
      <c r="AB48" s="2359"/>
      <c r="AC48" s="2360"/>
      <c r="AD48" s="2358"/>
      <c r="AE48" s="2359"/>
      <c r="AF48" s="2359"/>
      <c r="AG48" s="2359"/>
      <c r="AH48" s="2359"/>
      <c r="AI48" s="2359"/>
      <c r="AJ48" s="2359"/>
      <c r="AK48" s="2359"/>
      <c r="AL48" s="2360"/>
      <c r="AM48" s="1371" t="s">
        <v>501</v>
      </c>
      <c r="AO48" s="613"/>
      <c r="AP48" s="613" t="str">
        <f>IF(T48="","",T48)</f>
        <v>Группа потребителей</v>
      </c>
      <c r="AQ48" s="613"/>
      <c r="AR48" s="613"/>
      <c r="AS48" s="1268">
        <v>21</v>
      </c>
    </row>
    <row customHeight="1" ht="22.049999999999997">
      <c r="A49" s="1476" t="s">
        <v>217</v>
      </c>
      <c r="B49" s="1476" t="s">
        <v>218</v>
      </c>
      <c r="C49" s="1476" t="s">
        <v>219</v>
      </c>
      <c r="D49" s="1476" t="s">
        <v>220</v>
      </c>
      <c r="E49" s="2372"/>
      <c r="F49" s="2372"/>
      <c r="G49" s="2372"/>
      <c r="H49" s="2372"/>
      <c r="I49" s="2399"/>
      <c r="J49" s="2399"/>
      <c r="K49" s="2369" t="str">
        <f>J48&amp;".1"</f>
        <v>....1.1</v>
      </c>
      <c r="L49" s="1477" t="s">
        <v>502</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541</v>
      </c>
      <c r="AN49" s="624">
        <f>STRCHECKDATE(V50:AL50)</f>
      </c>
      <c r="AO49" s="613"/>
      <c r="AP49" s="613" t="str">
        <f>IF(T49="","",T49)</f>
        <v/>
      </c>
      <c r="AQ49" s="613"/>
      <c r="AR49" s="613"/>
      <c r="AS49" s="1268">
        <v>21</v>
      </c>
    </row>
    <row customHeight="1" ht="0">
      <c r="A50" s="1476" t="s">
        <v>217</v>
      </c>
      <c r="B50" s="1476" t="s">
        <v>218</v>
      </c>
      <c r="C50" s="1476" t="s">
        <v>219</v>
      </c>
      <c r="D50" s="1476" t="s">
        <v>220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217</v>
      </c>
      <c r="B51" s="1476" t="s">
        <v>218</v>
      </c>
      <c r="C51" s="1476" t="s">
        <v>219</v>
      </c>
      <c r="D51" s="1476" t="s">
        <v>220</v>
      </c>
      <c r="E51" s="2372"/>
      <c r="F51" s="2372"/>
      <c r="G51" s="2372"/>
      <c r="H51" s="2372"/>
      <c r="I51" s="2399"/>
      <c r="J51" s="2369"/>
      <c r="K51" s="1476"/>
      <c r="L51" s="1477"/>
      <c r="P51" s="2370"/>
      <c r="Q51" s="2370"/>
      <c r="R51" s="469"/>
      <c r="S51" s="1391"/>
      <c r="T51" s="400" t="s">
        <v>504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217</v>
      </c>
      <c r="B52" s="1476" t="s">
        <v>218</v>
      </c>
      <c r="C52" s="1476" t="s">
        <v>219</v>
      </c>
      <c r="D52" s="1476" t="s">
        <v>220</v>
      </c>
      <c r="E52" s="2372"/>
      <c r="F52" s="2372"/>
      <c r="G52" s="2372"/>
      <c r="H52" s="2372"/>
      <c r="I52" s="2369"/>
      <c r="J52" s="1476"/>
      <c r="K52" s="1476"/>
      <c r="L52" s="1477"/>
      <c r="P52" s="2370"/>
      <c r="Q52" s="1444"/>
      <c r="R52" s="469"/>
      <c r="S52" s="1391"/>
      <c r="T52" s="478" t="s">
        <v>505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217</v>
      </c>
      <c r="B53" s="1476" t="s">
        <v>218</v>
      </c>
      <c r="C53" s="1476" t="s">
        <v>219</v>
      </c>
      <c r="D53" s="1476" t="s">
        <v>220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8" customFormat="1" customHeight="1" ht="0">
      <c r="A54" s="1456" t="s">
        <v>217</v>
      </c>
      <c r="B54" s="1456" t="s">
        <v>218</v>
      </c>
      <c r="C54" s="1456" t="s">
        <v>219</v>
      </c>
      <c r="D54" s="1427"/>
      <c r="E54" s="2372"/>
      <c r="F54" s="2372"/>
      <c r="G54" s="2371"/>
      <c r="H54" s="1427"/>
      <c r="I54" s="1427"/>
      <c r="J54" s="1427"/>
      <c r="K54" s="1427"/>
      <c r="L54" s="1452"/>
      <c r="M54" s="1428"/>
      <c r="N54" s="1428"/>
      <c r="P54" s="1429"/>
      <c r="Q54" s="1430"/>
      <c r="R54" s="1429"/>
      <c r="S54" s="1435"/>
      <c r="T54" s="1438" t="s">
        <v>507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68" customFormat="1" customHeight="1" ht="0">
      <c r="A55" s="1456" t="s">
        <v>217</v>
      </c>
      <c r="B55" s="1456" t="s">
        <v>218</v>
      </c>
      <c r="C55" s="1427"/>
      <c r="D55" s="1427"/>
      <c r="E55" s="2372"/>
      <c r="F55" s="2371"/>
      <c r="G55" s="1427"/>
      <c r="H55" s="1427"/>
      <c r="I55" s="1427"/>
      <c r="J55" s="1427"/>
      <c r="K55" s="1427"/>
      <c r="L55" s="1452"/>
      <c r="M55" s="1434"/>
      <c r="N55" s="1434"/>
      <c r="P55" s="1429"/>
      <c r="Q55" s="1430"/>
      <c r="R55" s="1429"/>
      <c r="S55" s="1435"/>
      <c r="T55" s="1438" t="s">
        <v>312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68" customFormat="1" customHeight="1" ht="0">
      <c r="A56" s="1456" t="s">
        <v>217</v>
      </c>
      <c r="B56" s="1456"/>
      <c r="C56" s="1456"/>
      <c r="D56" s="1456"/>
      <c r="E56" s="2371"/>
      <c r="F56" s="1456"/>
      <c r="G56" s="1456"/>
      <c r="H56" s="1456"/>
      <c r="I56" s="1456"/>
      <c r="J56" s="1456"/>
      <c r="K56" s="1456"/>
      <c r="L56" s="1459"/>
      <c r="M56" s="1434"/>
      <c r="N56" s="1434"/>
      <c r="O56" s="631"/>
      <c r="P56" s="493"/>
      <c r="Q56" s="1457"/>
      <c r="R56" s="493"/>
      <c r="S56" s="1435"/>
      <c r="T56" s="1438" t="s">
        <v>360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68"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361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9FA98-0ECA-948A-533E-36C4773A82A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7" width="10.57421875" hidden="1"/>
    <col min="2" max="2" style="5387" width="11.00390625" hidden="1" customWidth="1"/>
    <col min="3" max="3" style="5387" width="10.57421875" hidden="1"/>
    <col min="4" max="4" style="5387" width="11.8515625" hidden="1" customWidth="1"/>
    <col min="5" max="5" style="5387" width="10.00390625" hidden="1" customWidth="1"/>
    <col min="6" max="6" style="5387" width="8.7109375" hidden="1" customWidth="1"/>
    <col min="7" max="7" style="5387" width="7.57421875" hidden="1" customWidth="1"/>
    <col min="8" max="8" style="5387" width="11.421875" hidden="1" customWidth="1"/>
    <col min="9" max="9" style="5387" width="12.00390625" hidden="1" customWidth="1"/>
    <col min="10" max="10" style="5387" width="9.8515625" hidden="1" customWidth="1"/>
    <col min="11" max="12" style="5387" width="11.421875" hidden="1" customWidth="1"/>
    <col min="13" max="13" style="5465" width="19.140625" hidden="1" customWidth="1"/>
    <col min="14" max="15" style="6318" width="12.28125" hidden="1" customWidth="1"/>
    <col min="16" max="16" style="6318" width="23.421875" hidden="1" customWidth="1"/>
    <col min="17" max="17" style="6318" width="3.7109375" hidden="1" customWidth="1"/>
    <col min="18" max="20" style="6319" width="3.00390625" customWidth="1"/>
    <col min="21" max="21" style="6320" width="12.00390625" customWidth="1"/>
    <col min="22" max="22" style="5387" width="31.00390625" customWidth="1"/>
    <col min="23" max="23" style="5387" width="0.140625" customWidth="1"/>
    <col min="24" max="28" style="5387" width="21.7109375" hidden="1" customWidth="1"/>
    <col min="29" max="29" style="5387" width="11.7109375" hidden="1" customWidth="1"/>
    <col min="30" max="30" style="5387" width="3.7109375" hidden="1" customWidth="1"/>
    <col min="31" max="31" style="5387" width="11.7109375" hidden="1" customWidth="1"/>
    <col min="32" max="32" style="5387" width="8.57421875" hidden="1" customWidth="1"/>
    <col min="33" max="33" style="5387" width="21.7109375" customWidth="1"/>
    <col min="34" max="37" style="5387" width="21.00390625" customWidth="1"/>
    <col min="38" max="38" style="5387" width="11.00390625" customWidth="1"/>
    <col min="39" max="39" style="5387" width="3.7109375" customWidth="1"/>
    <col min="40" max="40" style="5387" width="11.00390625" customWidth="1"/>
    <col min="41" max="41" style="5387" width="8.57421875" hidden="1" customWidth="1"/>
    <col min="42" max="42" style="5387" width="4.00390625" customWidth="1"/>
    <col min="43" max="43" style="5387" width="115.00390625" customWidth="1"/>
    <col min="44" max="48" style="5468" width="10.00390625" customWidth="1"/>
    <col min="49" max="49" style="5387"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155</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489</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490</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491</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492</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493</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494</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495</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496</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499</v>
      </c>
      <c r="N7" s="622"/>
      <c r="O7" s="440"/>
      <c r="Q7" s="2370"/>
      <c r="R7" s="2370">
        <v>1</v>
      </c>
      <c r="S7" s="631"/>
      <c r="T7" s="470"/>
      <c r="U7" s="1449">
        <f>$J7</f>
      </c>
      <c r="V7" s="399" t="s">
        <v>500</v>
      </c>
      <c r="W7" s="413"/>
      <c r="X7" s="2358"/>
      <c r="Y7" s="2359"/>
      <c r="Z7" s="2359"/>
      <c r="AA7" s="2359"/>
      <c r="AB7" s="2359"/>
      <c r="AC7" s="2348"/>
      <c r="AD7" s="2348"/>
      <c r="AE7" s="2348"/>
      <c r="AF7" s="2421"/>
      <c r="AG7" s="2358"/>
      <c r="AH7" s="2359"/>
      <c r="AI7" s="2359"/>
      <c r="AJ7" s="2359"/>
      <c r="AK7" s="2359"/>
      <c r="AL7" s="2359"/>
      <c r="AM7" s="2359"/>
      <c r="AN7" s="2359"/>
      <c r="AO7" s="2359"/>
      <c r="AP7" s="2360"/>
      <c r="AQ7" s="1371" t="s">
        <v>501</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502</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542</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543</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544</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504</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505</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68"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507</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68"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312</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68"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360</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67" customFormat="1" customHeight="1" ht="22.5" hidden="1">
      <c r="A24" s="1268"/>
      <c r="B24" s="1268"/>
      <c r="C24" s="1268"/>
      <c r="D24" s="1268"/>
      <c r="E24" s="1268"/>
      <c r="F24" s="1268"/>
      <c r="G24" s="1268"/>
      <c r="H24" s="1268"/>
      <c r="I24" s="1268"/>
      <c r="J24" s="1268"/>
      <c r="K24" s="1268"/>
      <c r="L24" s="1268"/>
      <c r="M24" s="1440"/>
      <c r="N24" s="1441"/>
      <c r="O24" s="1441"/>
      <c r="P24" s="1458" t="s">
        <v>508</v>
      </c>
      <c r="Q24" s="1475"/>
      <c r="R24" s="1484"/>
      <c r="S24" s="1484"/>
      <c r="T24" s="1484"/>
      <c r="U24" s="842"/>
      <c r="AC24" s="1480"/>
      <c r="AE24" s="1480"/>
      <c r="AF24" s="1479"/>
      <c r="AL24" s="1480"/>
      <c r="AN24" s="1480"/>
      <c r="AO24" s="1479"/>
      <c r="AR24" s="624"/>
      <c r="AS24" s="624"/>
      <c r="AT24" s="624"/>
      <c r="AU24" s="624"/>
      <c r="AV24" s="624"/>
      <c r="AW24" s="1273">
        <v>0</v>
      </c>
    </row>
    <row s="5467"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67" customFormat="1" customHeight="1" ht="14.25" hidden="1">
      <c r="A26" s="1268"/>
      <c r="B26" s="1268"/>
      <c r="C26" s="1268"/>
      <c r="D26" s="1268"/>
      <c r="E26" s="1268"/>
      <c r="F26" s="1268"/>
      <c r="G26" s="1268"/>
      <c r="H26" s="1268"/>
      <c r="I26" s="1268"/>
      <c r="J26" s="1268"/>
      <c r="K26" s="1268"/>
      <c r="L26" s="1268"/>
      <c r="M26" s="1440"/>
      <c r="N26" s="1441"/>
      <c r="O26" s="1441"/>
      <c r="P26" s="1423" t="s">
        <v>509</v>
      </c>
      <c r="Q26" s="1475"/>
      <c r="R26" s="1484"/>
      <c r="S26" s="1484"/>
      <c r="T26" s="1484"/>
      <c r="U26" s="842"/>
      <c r="V26" s="1273" t="s">
        <v>510</v>
      </c>
      <c r="AD26" s="299" t="s">
        <v>511</v>
      </c>
      <c r="AF26" s="299" t="s">
        <v>512</v>
      </c>
      <c r="AG26" s="1273" t="s">
        <v>510</v>
      </c>
      <c r="AM26" s="299" t="s">
        <v>513</v>
      </c>
      <c r="AO26" s="299" t="s">
        <v>512</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КГУП "Примтеплоэнерго"</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04"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604" customFormat="1" customHeight="1" ht="18.75" hidden="1">
      <c r="A34" s="1361"/>
      <c r="B34" s="1361"/>
      <c r="C34" s="1361"/>
      <c r="D34" s="1361"/>
      <c r="E34" s="1361"/>
      <c r="F34" s="1361"/>
      <c r="G34" s="1361"/>
      <c r="H34" s="1361"/>
      <c r="I34" s="1361"/>
      <c r="J34" s="1361"/>
      <c r="K34" s="1361"/>
      <c r="L34" s="1361"/>
      <c r="M34" s="1493"/>
      <c r="N34" s="1361"/>
      <c r="O34" s="1361"/>
      <c r="P34" s="1361"/>
      <c r="U34" s="2363" t="s">
        <v>514</v>
      </c>
      <c r="V34" s="2363"/>
      <c r="W34" s="1485"/>
      <c r="X34" s="2377" t="str">
        <f>IF(TITLE_DATE_PR_CHANGE="",IF(TITLE_DATE_PR="","",TITLE_DATE_PR),TITLE_DATE_PR_CHANGE)</f>
        <v>45408.605891203704</v>
      </c>
      <c r="Y34" s="2377"/>
      <c r="Z34" s="2377"/>
      <c r="AA34" s="2377"/>
      <c r="AB34" s="2377"/>
      <c r="AC34" s="2377"/>
      <c r="AD34" s="2377"/>
      <c r="AE34" s="2377"/>
      <c r="AF34" s="439"/>
      <c r="AG34" s="2377" t="str">
        <f>IF(TITLE_DATE_PR_CHANGE="",IF(TITLE_DATE_PR="","",TITLE_DATE_PR),TITLE_DATE_PR_CHANGE)</f>
        <v>45408.605891203704</v>
      </c>
      <c r="AH34" s="2377"/>
      <c r="AI34" s="2377"/>
      <c r="AJ34" s="2377"/>
      <c r="AK34" s="2377"/>
      <c r="AL34" s="2377"/>
      <c r="AM34" s="2377"/>
      <c r="AN34" s="2377"/>
      <c r="AO34" s="439"/>
      <c r="AP34" s="439"/>
      <c r="AQ34" s="393"/>
      <c r="AR34" s="481"/>
      <c r="AS34" s="481"/>
      <c r="AT34" s="481"/>
      <c r="AU34" s="481"/>
      <c r="AV34" s="481"/>
      <c r="AW34" s="531">
        <v>0</v>
      </c>
    </row>
    <row s="5604" customFormat="1" customHeight="1" ht="18.75" hidden="1">
      <c r="A35" s="1361"/>
      <c r="B35" s="1361"/>
      <c r="C35" s="1361"/>
      <c r="D35" s="1361"/>
      <c r="E35" s="1361"/>
      <c r="F35" s="1361"/>
      <c r="G35" s="1361"/>
      <c r="H35" s="1361"/>
      <c r="I35" s="1361"/>
      <c r="J35" s="1361"/>
      <c r="K35" s="1361"/>
      <c r="L35" s="1361"/>
      <c r="M35" s="1493"/>
      <c r="N35" s="1361"/>
      <c r="O35" s="1361"/>
      <c r="P35" s="1361"/>
      <c r="U35" s="2363" t="s">
        <v>515</v>
      </c>
      <c r="V35" s="2363"/>
      <c r="W35" s="1485"/>
      <c r="X35" s="2364" t="str">
        <f>IF(TITLE_NUMBER_PR_CHANGE="",IF(TITLE_NUMBER_PR="","",TITLE_NUMBER_PR),TITLE_NUMBER_PR_CHANGE)</f>
        <v>27-2139</v>
      </c>
      <c r="Y35" s="2364"/>
      <c r="Z35" s="2364"/>
      <c r="AA35" s="2364"/>
      <c r="AB35" s="2364"/>
      <c r="AC35" s="2364"/>
      <c r="AD35" s="2364"/>
      <c r="AE35" s="2364"/>
      <c r="AF35" s="439"/>
      <c r="AG35" s="2364" t="str">
        <f>IF(TITLE_NUMBER_PR_CHANGE="",IF(TITLE_NUMBER_PR="","",TITLE_NUMBER_PR),TITLE_NUMBER_PR_CHANGE)</f>
        <v>27-2139</v>
      </c>
      <c r="AH35" s="2364"/>
      <c r="AI35" s="2364"/>
      <c r="AJ35" s="2364"/>
      <c r="AK35" s="2364"/>
      <c r="AL35" s="2364"/>
      <c r="AM35" s="2364"/>
      <c r="AN35" s="2364"/>
      <c r="AO35" s="439"/>
      <c r="AP35" s="439"/>
      <c r="AQ35" s="393"/>
      <c r="AR35" s="481"/>
      <c r="AS35" s="481"/>
      <c r="AT35" s="481"/>
      <c r="AU35" s="481"/>
      <c r="AV35" s="481"/>
      <c r="AW35" s="531">
        <v>0</v>
      </c>
    </row>
    <row s="5604"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04" customFormat="1" customHeight="1" ht="18.75">
      <c r="A38" s="1361"/>
      <c r="B38" s="1361"/>
      <c r="C38" s="1361"/>
      <c r="D38" s="1361"/>
      <c r="E38" s="1361"/>
      <c r="F38" s="1361"/>
      <c r="G38" s="1361"/>
      <c r="H38" s="1361"/>
      <c r="I38" s="1361"/>
      <c r="J38" s="1361"/>
      <c r="K38" s="1361"/>
      <c r="L38" s="1361"/>
      <c r="M38" s="1493"/>
      <c r="N38" s="1361"/>
      <c r="O38" s="1361"/>
      <c r="P38" s="1361"/>
      <c r="U38" s="2363" t="s">
        <v>516</v>
      </c>
      <c r="V38" s="2363"/>
      <c r="W38" s="1485"/>
      <c r="X38" s="2377" t="str">
        <f>IF(TITLE_DATE_PR_CHANGE="",IF(TITLE_DATE_PR="","",TITLE_DATE_PR),TITLE_DATE_PR_CHANGE)</f>
        <v>45408.605891203704</v>
      </c>
      <c r="Y38" s="2377"/>
      <c r="Z38" s="2377"/>
      <c r="AA38" s="2377"/>
      <c r="AB38" s="2377"/>
      <c r="AC38" s="2377"/>
      <c r="AD38" s="2377"/>
      <c r="AE38" s="2377"/>
      <c r="AF38" s="439"/>
      <c r="AG38" s="2377" t="str">
        <f>IF(TITLE_DATE_PR_CHANGE="",IF(TITLE_DATE_PR="","",TITLE_DATE_PR),TITLE_DATE_PR_CHANGE)</f>
        <v>45408.605891203704</v>
      </c>
      <c r="AH38" s="2377"/>
      <c r="AI38" s="2377"/>
      <c r="AJ38" s="2377"/>
      <c r="AK38" s="2377"/>
      <c r="AL38" s="2377"/>
      <c r="AM38" s="2377"/>
      <c r="AN38" s="2377"/>
      <c r="AO38" s="439"/>
      <c r="AP38" s="439"/>
      <c r="AQ38" s="393"/>
      <c r="AR38" s="481"/>
      <c r="AS38" s="481"/>
      <c r="AT38" s="481"/>
      <c r="AU38" s="481"/>
      <c r="AV38" s="481"/>
      <c r="AW38" s="531">
        <v>0</v>
      </c>
    </row>
    <row s="5604" customFormat="1" customHeight="1" ht="18.75">
      <c r="A39" s="1361"/>
      <c r="B39" s="1361"/>
      <c r="C39" s="1361"/>
      <c r="D39" s="1361"/>
      <c r="E39" s="1361"/>
      <c r="F39" s="1361"/>
      <c r="G39" s="1361"/>
      <c r="H39" s="1361"/>
      <c r="I39" s="1361"/>
      <c r="J39" s="1361"/>
      <c r="K39" s="1361"/>
      <c r="L39" s="1361"/>
      <c r="M39" s="1493"/>
      <c r="N39" s="1361"/>
      <c r="O39" s="1361"/>
      <c r="P39" s="1361"/>
      <c r="U39" s="2363" t="s">
        <v>517</v>
      </c>
      <c r="V39" s="2363"/>
      <c r="W39" s="1485"/>
      <c r="X39" s="2364" t="str">
        <f>IF(TITLE_NUMBER_PR_CHANGE="",IF(TITLE_NUMBER_PR="","",TITLE_NUMBER_PR),TITLE_NUMBER_PR_CHANGE)</f>
        <v>27-2139</v>
      </c>
      <c r="Y39" s="2364"/>
      <c r="Z39" s="2364"/>
      <c r="AA39" s="2364"/>
      <c r="AB39" s="2364"/>
      <c r="AC39" s="2364"/>
      <c r="AD39" s="2364"/>
      <c r="AE39" s="2364"/>
      <c r="AF39" s="439"/>
      <c r="AG39" s="2364" t="str">
        <f>IF(TITLE_NUMBER_PR_CHANGE="",IF(TITLE_NUMBER_PR="","",TITLE_NUMBER_PR),TITLE_NUMBER_PR_CHANGE)</f>
        <v>27-2139</v>
      </c>
      <c r="AH39" s="2364"/>
      <c r="AI39" s="2364"/>
      <c r="AJ39" s="2364"/>
      <c r="AK39" s="2364"/>
      <c r="AL39" s="2364"/>
      <c r="AM39" s="2364"/>
      <c r="AN39" s="2364"/>
      <c r="AO39" s="439"/>
      <c r="AP39" s="439"/>
      <c r="AQ39" s="393"/>
      <c r="AR39" s="481"/>
      <c r="AS39" s="481"/>
      <c r="AT39" s="481"/>
      <c r="AU39" s="481"/>
      <c r="AV39" s="481"/>
      <c r="AW39" s="531">
        <v>0</v>
      </c>
    </row>
    <row s="5604"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518</v>
      </c>
      <c r="AG40" s="439"/>
      <c r="AH40" s="439"/>
      <c r="AI40" s="439"/>
      <c r="AJ40" s="439"/>
      <c r="AK40" s="439"/>
      <c r="AL40" s="439"/>
      <c r="AM40" s="439"/>
      <c r="AN40" s="439"/>
      <c r="AO40" s="391" t="s">
        <v>518</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393</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394</v>
      </c>
      <c r="AW42" s="1268">
        <v>14</v>
      </c>
    </row>
    <row customHeight="1" ht="14.699999999999998">
      <c r="R43" s="489"/>
      <c r="S43" s="489"/>
      <c r="T43" s="489"/>
      <c r="U43" s="2386" t="s">
        <v>88</v>
      </c>
      <c r="V43" s="2322" t="s">
        <v>519</v>
      </c>
      <c r="W43" s="414"/>
      <c r="X43" s="2387" t="s">
        <v>520</v>
      </c>
      <c r="Y43" s="2404"/>
      <c r="Z43" s="2404"/>
      <c r="AA43" s="2404"/>
      <c r="AB43" s="2404"/>
      <c r="AC43" s="2388"/>
      <c r="AD43" s="2388"/>
      <c r="AE43" s="2389"/>
      <c r="AF43" s="2390" t="s">
        <v>521</v>
      </c>
      <c r="AG43" s="2387" t="s">
        <v>520</v>
      </c>
      <c r="AH43" s="2404"/>
      <c r="AI43" s="2404"/>
      <c r="AJ43" s="2404"/>
      <c r="AK43" s="2404"/>
      <c r="AL43" s="2388"/>
      <c r="AM43" s="2388"/>
      <c r="AN43" s="2389"/>
      <c r="AO43" s="2390" t="s">
        <v>522</v>
      </c>
      <c r="AP43" s="2393" t="s">
        <v>523</v>
      </c>
      <c r="AQ43" s="2240"/>
      <c r="AW43" s="1268">
        <v>14</v>
      </c>
    </row>
    <row customHeight="1" ht="35.699999999999996">
      <c r="R44" s="489"/>
      <c r="S44" s="489"/>
      <c r="T44" s="489"/>
      <c r="U44" s="2386"/>
      <c r="V44" s="2322"/>
      <c r="W44" s="1144"/>
      <c r="X44" s="2407" t="s">
        <v>545</v>
      </c>
      <c r="Y44" s="2425" t="s">
        <v>546</v>
      </c>
      <c r="Z44" s="2425"/>
      <c r="AA44" s="2425"/>
      <c r="AB44" s="2425"/>
      <c r="AC44" s="2407" t="s">
        <v>527</v>
      </c>
      <c r="AD44" s="2724"/>
      <c r="AE44" s="2427"/>
      <c r="AF44" s="2391"/>
      <c r="AG44" s="2407" t="s">
        <v>545</v>
      </c>
      <c r="AH44" s="2425" t="s">
        <v>546</v>
      </c>
      <c r="AI44" s="2425"/>
      <c r="AJ44" s="2425"/>
      <c r="AK44" s="2425"/>
      <c r="AL44" s="2407" t="s">
        <v>527</v>
      </c>
      <c r="AM44" s="2724"/>
      <c r="AN44" s="2427"/>
      <c r="AO44" s="2391"/>
      <c r="AP44" s="2394"/>
      <c r="AQ44" s="2240"/>
      <c r="AW44" s="1268">
        <v>34</v>
      </c>
    </row>
    <row customHeight="1" ht="14.699999999999998">
      <c r="R45" s="489"/>
      <c r="S45" s="489"/>
      <c r="T45" s="489"/>
      <c r="U45" s="2386"/>
      <c r="V45" s="2322"/>
      <c r="W45" s="1144"/>
      <c r="X45" s="2438"/>
      <c r="Y45" s="2430" t="s">
        <v>547</v>
      </c>
      <c r="Z45" s="2383" t="s">
        <v>548</v>
      </c>
      <c r="AA45" s="2433"/>
      <c r="AB45" s="2384"/>
      <c r="AC45" s="2408"/>
      <c r="AD45" s="2725"/>
      <c r="AE45" s="2429"/>
      <c r="AF45" s="2391"/>
      <c r="AG45" s="2438"/>
      <c r="AH45" s="2430" t="s">
        <v>547</v>
      </c>
      <c r="AI45" s="2383" t="s">
        <v>548</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549</v>
      </c>
      <c r="AA46" s="2383" t="s">
        <v>550</v>
      </c>
      <c r="AB46" s="2384"/>
      <c r="AC46" s="2430" t="s">
        <v>537</v>
      </c>
      <c r="AD46" s="2434" t="s">
        <v>538</v>
      </c>
      <c r="AE46" s="2435"/>
      <c r="AF46" s="2391"/>
      <c r="AG46" s="2438"/>
      <c r="AH46" s="2431"/>
      <c r="AI46" s="2430" t="s">
        <v>549</v>
      </c>
      <c r="AJ46" s="2383" t="s">
        <v>550</v>
      </c>
      <c r="AK46" s="2384"/>
      <c r="AL46" s="2430" t="s">
        <v>537</v>
      </c>
      <c r="AM46" s="2434" t="s">
        <v>538</v>
      </c>
      <c r="AN46" s="2435"/>
      <c r="AO46" s="2391"/>
      <c r="AP46" s="2394"/>
      <c r="AQ46" s="2240"/>
      <c r="AW46" s="1268">
        <v>26</v>
      </c>
    </row>
    <row customHeight="1" ht="65.25">
      <c r="A47" s="1372"/>
      <c r="B47" s="1372" t="s">
        <v>167</v>
      </c>
      <c r="C47" s="1372" t="s">
        <v>168</v>
      </c>
      <c r="D47" s="1372" t="s">
        <v>169</v>
      </c>
      <c r="E47" s="1423" t="s">
        <v>528</v>
      </c>
      <c r="F47" s="1423" t="s">
        <v>529</v>
      </c>
      <c r="G47" s="1423" t="s">
        <v>530</v>
      </c>
      <c r="H47" s="1423" t="s">
        <v>531</v>
      </c>
      <c r="I47" s="1423" t="s">
        <v>532</v>
      </c>
      <c r="J47" s="1423" t="s">
        <v>533</v>
      </c>
      <c r="K47" s="1423" t="s">
        <v>534</v>
      </c>
      <c r="L47" s="1423" t="s">
        <v>551</v>
      </c>
      <c r="M47" s="1423" t="s">
        <v>509</v>
      </c>
      <c r="R47" s="489"/>
      <c r="S47" s="489"/>
      <c r="T47" s="489"/>
      <c r="U47" s="2386"/>
      <c r="V47" s="2322"/>
      <c r="W47" s="415"/>
      <c r="X47" s="2408"/>
      <c r="Y47" s="2432"/>
      <c r="Z47" s="2432"/>
      <c r="AA47" s="1335" t="s">
        <v>552</v>
      </c>
      <c r="AB47" s="1335" t="s">
        <v>553</v>
      </c>
      <c r="AC47" s="2432"/>
      <c r="AD47" s="2436"/>
      <c r="AE47" s="2437"/>
      <c r="AF47" s="2392"/>
      <c r="AG47" s="2408"/>
      <c r="AH47" s="2432"/>
      <c r="AI47" s="2432"/>
      <c r="AJ47" s="1335" t="s">
        <v>552</v>
      </c>
      <c r="AK47" s="1335" t="s">
        <v>553</v>
      </c>
      <c r="AL47" s="2432"/>
      <c r="AM47" s="2436"/>
      <c r="AN47" s="2437"/>
      <c r="AO47" s="2392"/>
      <c r="AP47" s="2395"/>
      <c r="AQ47" s="2240"/>
      <c r="AW47" s="1268">
        <v>62</v>
      </c>
    </row>
    <row s="6074"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136</v>
      </c>
      <c r="V48" s="1368" t="s">
        <v>103</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205</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155</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205</v>
      </c>
      <c r="B50" s="1380" t="s">
        <v>206</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490</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491</v>
      </c>
      <c r="AS50" s="613"/>
      <c r="AT50" s="613" t="str">
        <f>IF(V50="","",V50)</f>
        <v>Территория действия тарифа</v>
      </c>
      <c r="AU50" s="613"/>
      <c r="AV50" s="613"/>
      <c r="AW50" s="1268">
        <v>21</v>
      </c>
    </row>
    <row customHeight="1" ht="24">
      <c r="A51" s="1380" t="s">
        <v>205</v>
      </c>
      <c r="B51" s="1380" t="s">
        <v>206</v>
      </c>
      <c r="C51" s="1380" t="s">
        <v>207</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492</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493</v>
      </c>
      <c r="AS51" s="613"/>
      <c r="AT51" s="613" t="str">
        <f>IF(V51="","",V51)</f>
        <v>Наименование системы теплоснабжения </v>
      </c>
      <c r="AU51" s="613"/>
      <c r="AV51" s="613"/>
      <c r="AW51" s="1268">
        <v>23</v>
      </c>
    </row>
    <row customHeight="1" ht="22.049999999999997">
      <c r="A52" s="1380" t="s">
        <v>205</v>
      </c>
      <c r="B52" s="1380" t="s">
        <v>206</v>
      </c>
      <c r="C52" s="1380" t="s">
        <v>207</v>
      </c>
      <c r="D52" s="1380" t="s">
        <v>208</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494</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495</v>
      </c>
      <c r="AS52" s="613"/>
      <c r="AT52" s="613" t="str">
        <f>IF(V52="","",V52)</f>
        <v>Источник тепловой энергии  </v>
      </c>
      <c r="AU52" s="613"/>
      <c r="AV52" s="613"/>
      <c r="AW52" s="1268">
        <v>21</v>
      </c>
    </row>
    <row s="5468" customFormat="1" customHeight="1" ht="0">
      <c r="A53" s="1488" t="s">
        <v>205</v>
      </c>
      <c r="B53" s="1488" t="s">
        <v>206</v>
      </c>
      <c r="C53" s="1488" t="s">
        <v>207</v>
      </c>
      <c r="D53" s="1488" t="s">
        <v>208</v>
      </c>
      <c r="E53" s="2403"/>
      <c r="F53" s="2403"/>
      <c r="G53" s="2403"/>
      <c r="H53" s="2424"/>
      <c r="I53" s="2240" t="str">
        <f>U52&amp;".1"</f>
        <v>....1</v>
      </c>
      <c r="J53" s="1488"/>
      <c r="K53" s="1488"/>
      <c r="L53" s="1488"/>
      <c r="M53" s="1494" t="s">
        <v>496</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205</v>
      </c>
      <c r="B54" s="1380" t="s">
        <v>206</v>
      </c>
      <c r="C54" s="1380" t="s">
        <v>207</v>
      </c>
      <c r="D54" s="1380" t="s">
        <v>208</v>
      </c>
      <c r="E54" s="2403"/>
      <c r="F54" s="2403"/>
      <c r="G54" s="2403"/>
      <c r="H54" s="2424"/>
      <c r="I54" s="2214"/>
      <c r="J54" s="2240" t="str">
        <f>I53&amp;".1"</f>
        <v>....1.1</v>
      </c>
      <c r="K54" s="1380"/>
      <c r="L54" s="1380"/>
      <c r="M54" s="1423" t="s">
        <v>499</v>
      </c>
      <c r="Q54" s="2370"/>
      <c r="R54" s="2370">
        <v>1</v>
      </c>
      <c r="S54" s="631"/>
      <c r="T54" s="470"/>
      <c r="U54" s="1449" t="str">
        <f>$J54</f>
        <v>....1.1</v>
      </c>
      <c r="V54" s="399" t="s">
        <v>500</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501</v>
      </c>
      <c r="AS54" s="613"/>
      <c r="AT54" s="613" t="str">
        <f>IF(V54="","",V54)</f>
        <v>Группа потребителей</v>
      </c>
      <c r="AU54" s="613"/>
      <c r="AV54" s="613"/>
      <c r="AW54" s="1268">
        <v>21</v>
      </c>
    </row>
    <row customHeight="1" ht="22.049999999999997">
      <c r="A55" s="1380" t="s">
        <v>205</v>
      </c>
      <c r="B55" s="1380" t="s">
        <v>206</v>
      </c>
      <c r="C55" s="1380" t="s">
        <v>207</v>
      </c>
      <c r="D55" s="1380" t="s">
        <v>208</v>
      </c>
      <c r="E55" s="2403"/>
      <c r="F55" s="2403"/>
      <c r="G55" s="2403"/>
      <c r="H55" s="2424"/>
      <c r="I55" s="2214"/>
      <c r="J55" s="2214"/>
      <c r="K55" s="2240" t="str">
        <f>J54&amp;".1"</f>
        <v>....1.1.1</v>
      </c>
      <c r="L55" s="252"/>
      <c r="M55" s="1423" t="s">
        <v>502</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542</v>
      </c>
      <c r="AR55" s="624">
        <f>STRCHECKDATE(X57:AP57)</f>
      </c>
      <c r="AS55" s="613"/>
      <c r="AT55" s="613" t="str">
        <f>IF(V55="","",V55)</f>
        <v/>
      </c>
      <c r="AU55" s="613"/>
      <c r="AV55" s="613"/>
      <c r="AW55" s="1268">
        <v>21</v>
      </c>
    </row>
    <row customHeight="1" ht="11.549999999999999">
      <c r="A56" s="1380" t="s">
        <v>205</v>
      </c>
      <c r="B56" s="1380" t="s">
        <v>206</v>
      </c>
      <c r="C56" s="1380" t="s">
        <v>207</v>
      </c>
      <c r="D56" s="1380" t="s">
        <v>208</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543</v>
      </c>
      <c r="AR56" s="624">
        <f>STRCHECKDATE(X58:AP58)</f>
      </c>
      <c r="AS56" s="613"/>
      <c r="AT56" s="613" t="str">
        <f>IF(V56="","",V56)</f>
        <v/>
      </c>
      <c r="AU56" s="613"/>
      <c r="AV56" s="613"/>
      <c r="AW56" s="1268">
        <v>11</v>
      </c>
    </row>
    <row customHeight="1" ht="0">
      <c r="A57" s="1380" t="s">
        <v>205</v>
      </c>
      <c r="B57" s="1380" t="s">
        <v>206</v>
      </c>
      <c r="C57" s="1380" t="s">
        <v>207</v>
      </c>
      <c r="D57" s="1380" t="s">
        <v>208</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205</v>
      </c>
      <c r="B58" s="1380" t="s">
        <v>206</v>
      </c>
      <c r="C58" s="1380" t="s">
        <v>207</v>
      </c>
      <c r="D58" s="1380" t="s">
        <v>208</v>
      </c>
      <c r="E58" s="2403"/>
      <c r="F58" s="2403"/>
      <c r="G58" s="2403"/>
      <c r="H58" s="2424"/>
      <c r="I58" s="2214"/>
      <c r="J58" s="2214"/>
      <c r="K58" s="2240"/>
      <c r="L58" s="1380"/>
      <c r="M58" s="1423"/>
      <c r="Q58" s="2370"/>
      <c r="R58" s="2370"/>
      <c r="S58" s="1444"/>
      <c r="T58" s="469"/>
      <c r="U58" s="1391"/>
      <c r="V58" s="401" t="s">
        <v>544</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205</v>
      </c>
      <c r="B59" s="1380" t="s">
        <v>206</v>
      </c>
      <c r="C59" s="1380" t="s">
        <v>207</v>
      </c>
      <c r="D59" s="1380" t="s">
        <v>208</v>
      </c>
      <c r="E59" s="2403"/>
      <c r="F59" s="2403"/>
      <c r="G59" s="2403"/>
      <c r="H59" s="2424"/>
      <c r="I59" s="2214"/>
      <c r="J59" s="2240"/>
      <c r="K59" s="1380"/>
      <c r="L59" s="1380"/>
      <c r="M59" s="1423"/>
      <c r="Q59" s="2370"/>
      <c r="R59" s="2370"/>
      <c r="S59" s="1444"/>
      <c r="T59" s="469"/>
      <c r="U59" s="1391"/>
      <c r="V59" s="400" t="s">
        <v>504</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205</v>
      </c>
      <c r="B60" s="1380" t="s">
        <v>206</v>
      </c>
      <c r="C60" s="1380" t="s">
        <v>207</v>
      </c>
      <c r="D60" s="1380" t="s">
        <v>208</v>
      </c>
      <c r="E60" s="2403"/>
      <c r="F60" s="2403"/>
      <c r="G60" s="2403"/>
      <c r="H60" s="2424"/>
      <c r="I60" s="2240"/>
      <c r="J60" s="1380"/>
      <c r="K60" s="1380"/>
      <c r="L60" s="1380"/>
      <c r="M60" s="1423"/>
      <c r="Q60" s="2370"/>
      <c r="R60" s="1444"/>
      <c r="S60" s="1444"/>
      <c r="T60" s="469"/>
      <c r="U60" s="1391"/>
      <c r="V60" s="478" t="s">
        <v>505</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205</v>
      </c>
      <c r="B61" s="1380" t="s">
        <v>206</v>
      </c>
      <c r="C61" s="1380" t="s">
        <v>207</v>
      </c>
      <c r="D61" s="1380" t="s">
        <v>208</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68" customFormat="1" customHeight="1" ht="0">
      <c r="A62" s="1488" t="s">
        <v>205</v>
      </c>
      <c r="B62" s="1488" t="s">
        <v>206</v>
      </c>
      <c r="C62" s="1488" t="s">
        <v>207</v>
      </c>
      <c r="D62" s="1487"/>
      <c r="E62" s="2403"/>
      <c r="F62" s="2403"/>
      <c r="G62" s="2402"/>
      <c r="H62" s="1487"/>
      <c r="I62" s="1487"/>
      <c r="J62" s="1487"/>
      <c r="K62" s="1487"/>
      <c r="L62" s="1487"/>
      <c r="M62" s="1490"/>
      <c r="N62" s="1491"/>
      <c r="O62" s="1491"/>
      <c r="P62" s="464"/>
      <c r="Q62" s="1429"/>
      <c r="R62" s="1430"/>
      <c r="S62" s="1429"/>
      <c r="T62" s="1429"/>
      <c r="U62" s="1435"/>
      <c r="V62" s="1438" t="s">
        <v>507</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68" customFormat="1" customHeight="1" ht="0">
      <c r="A63" s="1488" t="s">
        <v>205</v>
      </c>
      <c r="B63" s="1488" t="s">
        <v>206</v>
      </c>
      <c r="C63" s="1487"/>
      <c r="D63" s="1487"/>
      <c r="E63" s="2403"/>
      <c r="F63" s="2402"/>
      <c r="G63" s="1487"/>
      <c r="H63" s="1487"/>
      <c r="I63" s="1487"/>
      <c r="J63" s="1487"/>
      <c r="K63" s="1487"/>
      <c r="L63" s="1487"/>
      <c r="M63" s="1490"/>
      <c r="N63" s="1492"/>
      <c r="O63" s="1492"/>
      <c r="P63" s="464"/>
      <c r="Q63" s="1429"/>
      <c r="R63" s="1430"/>
      <c r="S63" s="1429"/>
      <c r="T63" s="1429"/>
      <c r="U63" s="1435"/>
      <c r="V63" s="1438" t="s">
        <v>312</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68" customFormat="1" customHeight="1" ht="0">
      <c r="A64" s="1488" t="s">
        <v>205</v>
      </c>
      <c r="B64" s="1488"/>
      <c r="C64" s="1488"/>
      <c r="D64" s="1488"/>
      <c r="E64" s="2402"/>
      <c r="F64" s="1488"/>
      <c r="G64" s="1488"/>
      <c r="H64" s="1488"/>
      <c r="I64" s="1488"/>
      <c r="J64" s="1488"/>
      <c r="K64" s="1488"/>
      <c r="L64" s="1488"/>
      <c r="M64" s="1494"/>
      <c r="N64" s="1492"/>
      <c r="O64" s="1492"/>
      <c r="P64" s="464"/>
      <c r="Q64" s="493"/>
      <c r="R64" s="1457"/>
      <c r="S64" s="493"/>
      <c r="T64" s="493"/>
      <c r="U64" s="1435"/>
      <c r="V64" s="1438" t="s">
        <v>360</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68"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361</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3ED36-CBB7-32B6-EEAB-210324443C8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67" width="10.57421875" hidden="1"/>
    <col min="2" max="2" style="5467" width="11.00390625" hidden="1" customWidth="1"/>
    <col min="3" max="3" style="5467" width="10.57421875" hidden="1"/>
    <col min="4" max="4" style="5467" width="11.8515625" hidden="1" customWidth="1"/>
    <col min="5" max="5" style="5467" width="10.00390625" hidden="1" customWidth="1"/>
    <col min="6" max="6" style="5467" width="8.7109375" hidden="1" customWidth="1"/>
    <col min="7" max="7" style="5467" width="7.57421875" hidden="1" customWidth="1"/>
    <col min="8" max="8" style="5467" width="11.421875" hidden="1" customWidth="1"/>
    <col min="9" max="9" style="5467" width="12.00390625" hidden="1" customWidth="1"/>
    <col min="10" max="10" style="5467" width="9.8515625" hidden="1" customWidth="1"/>
    <col min="11" max="11" style="5467" width="11.421875" hidden="1" customWidth="1"/>
    <col min="12" max="12" style="6316" width="19.140625" hidden="1" customWidth="1"/>
    <col min="13" max="14" style="6317" width="12.28125" hidden="1" customWidth="1"/>
    <col min="15" max="15" style="6317" width="23.421875" hidden="1" customWidth="1"/>
    <col min="16" max="16" style="6317" width="3.00390625" customWidth="1"/>
    <col min="17" max="17" style="6502" width="3.00390625" customWidth="1"/>
    <col min="18" max="18" style="6319" width="3.00390625" customWidth="1"/>
    <col min="19" max="19" style="6320" width="12.00390625" customWidth="1"/>
    <col min="20" max="20" style="5387" width="31.00390625" customWidth="1"/>
    <col min="21" max="21" style="5387" width="0.140625" customWidth="1"/>
    <col min="22" max="23" style="5387" width="21.7109375" hidden="1" customWidth="1"/>
    <col min="24" max="24" style="5387" width="11.7109375" hidden="1" customWidth="1"/>
    <col min="25" max="25" style="5387" width="3.7109375" hidden="1" customWidth="1"/>
    <col min="26" max="26" style="5387" width="11.7109375" hidden="1" customWidth="1"/>
    <col min="27" max="27" style="5387" width="8.57421875" hidden="1" customWidth="1"/>
    <col min="28" max="28" style="5387" width="5.421875" customWidth="1"/>
    <col min="29" max="30" style="5387" width="3.00390625" customWidth="1"/>
    <col min="31" max="31" style="5387" width="24.00390625" customWidth="1"/>
    <col min="32" max="32" style="5387" width="3.7109375" customWidth="1"/>
    <col min="33" max="34" style="5387" width="3.00390625" customWidth="1"/>
    <col min="35" max="35" style="5387" width="24.00390625" customWidth="1"/>
    <col min="36" max="36" style="5387" width="3.7109375" customWidth="1"/>
    <col min="37" max="38" style="5387" width="3.00390625" customWidth="1"/>
    <col min="39" max="39" style="5387" width="18.00390625" customWidth="1"/>
    <col min="40" max="41" style="5387" width="21.00390625" customWidth="1"/>
    <col min="42" max="42" style="5387" width="11.00390625" customWidth="1"/>
    <col min="43" max="43" style="5387" width="3.7109375" customWidth="1"/>
    <col min="44" max="44" style="5387" width="11.00390625" customWidth="1"/>
    <col min="45" max="45" style="5387" width="8.57421875" hidden="1" customWidth="1"/>
    <col min="46" max="46" style="5387" width="4.00390625" customWidth="1"/>
    <col min="47" max="47" style="5387" width="115.00390625" customWidth="1"/>
    <col min="48" max="52" style="5468" width="10.00390625" customWidth="1"/>
    <col min="53" max="53" style="5387"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155</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489</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490</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491</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492</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493</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494</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495</v>
      </c>
      <c r="AW5" s="613"/>
      <c r="AX5" s="613" t="str">
        <f>IF(T5="","",T5)</f>
        <v>Источник тепловой энергии  </v>
      </c>
      <c r="AY5" s="613"/>
      <c r="AZ5" s="613"/>
      <c r="BA5" s="1268">
        <v>0</v>
      </c>
    </row>
    <row s="5468" customFormat="1" customHeight="1" ht="0.75" hidden="1">
      <c r="A6" s="1456"/>
      <c r="B6" s="1456"/>
      <c r="C6" s="1456"/>
      <c r="D6" s="1456"/>
      <c r="E6" s="2372"/>
      <c r="F6" s="2372"/>
      <c r="G6" s="2372"/>
      <c r="H6" s="2372"/>
      <c r="I6" s="2369">
        <f>S5&amp;".1"</f>
      </c>
      <c r="J6" s="1456"/>
      <c r="K6" s="1456"/>
      <c r="L6" s="1459" t="s">
        <v>496</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68"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554</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555</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556</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557</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558</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68"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68"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68"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507</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68"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312</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68"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360</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508</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73" customFormat="1" customHeight="1" ht="14.25" hidden="1">
      <c r="M23" s="1621"/>
      <c r="N23" s="1621"/>
      <c r="O23" s="1622" t="s">
        <v>509</v>
      </c>
      <c r="P23" s="1621"/>
      <c r="Q23" s="1623"/>
      <c r="R23" s="1623"/>
      <c r="Y23" s="1620" t="s">
        <v>511</v>
      </c>
      <c r="AA23" s="1620" t="s">
        <v>512</v>
      </c>
      <c r="AB23" s="1620" t="s">
        <v>559</v>
      </c>
      <c r="AE23" s="1620" t="s">
        <v>560</v>
      </c>
      <c r="AF23" s="1620" t="s">
        <v>559</v>
      </c>
      <c r="AI23" s="1620" t="s">
        <v>561</v>
      </c>
      <c r="AJ23" s="1620" t="s">
        <v>559</v>
      </c>
      <c r="AM23" s="1620" t="s">
        <v>562</v>
      </c>
      <c r="AQ23" s="1620" t="s">
        <v>511</v>
      </c>
      <c r="AS23" s="1620" t="s">
        <v>512</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КГУП "Примтеплоэнерго"</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04"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04"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514</v>
      </c>
      <c r="T31" s="2363"/>
      <c r="U31" s="1485"/>
      <c r="V31" s="2377" t="str">
        <f>IF(TITLE_DATE_PR_CHANGE="",IF(TITLE_DATE_PR="","",TITLE_DATE_PR),TITLE_DATE_PR_CHANGE)</f>
        <v>45408.605891203704</v>
      </c>
      <c r="W31" s="2377"/>
      <c r="X31" s="2377"/>
      <c r="Y31" s="2377"/>
      <c r="Z31" s="2377"/>
      <c r="AA31" s="439"/>
      <c r="AB31" s="2377" t="str">
        <f>IF(TITLE_DATE_PR_CHANGE="",IF(TITLE_DATE_PR="","",TITLE_DATE_PR),TITLE_DATE_PR_CHANGE)</f>
        <v>45408.605891203704</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0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515</v>
      </c>
      <c r="T32" s="2363"/>
      <c r="U32" s="1485"/>
      <c r="V32" s="2364" t="str">
        <f>IF(TITLE_NUMBER_PR_CHANGE="",IF(TITLE_NUMBER_PR="","",TITLE_NUMBER_PR),TITLE_NUMBER_PR_CHANGE)</f>
        <v>27-2139</v>
      </c>
      <c r="W32" s="2364"/>
      <c r="X32" s="2364"/>
      <c r="Y32" s="2364"/>
      <c r="Z32" s="2364"/>
      <c r="AA32" s="439"/>
      <c r="AB32" s="2364" t="str">
        <f>IF(TITLE_NUMBER_PR_CHANGE="",IF(TITLE_NUMBER_PR="","",TITLE_NUMBER_PR),TITLE_NUMBER_PR_CHANGE)</f>
        <v>27-2139</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0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04" customFormat="1" customHeight="1" ht="18.75">
      <c r="A35" s="1481"/>
      <c r="B35" s="1481"/>
      <c r="C35" s="1481"/>
      <c r="D35" s="1481"/>
      <c r="E35" s="1481"/>
      <c r="F35" s="1481"/>
      <c r="G35" s="1481"/>
      <c r="H35" s="1481"/>
      <c r="I35" s="1481"/>
      <c r="J35" s="1481"/>
      <c r="K35" s="1481"/>
      <c r="L35" s="1482"/>
      <c r="M35" s="1481"/>
      <c r="N35" s="1481"/>
      <c r="O35" s="1481"/>
      <c r="P35" s="1481"/>
      <c r="Q35" s="1481"/>
      <c r="S35" s="2363" t="s">
        <v>514</v>
      </c>
      <c r="T35" s="2363"/>
      <c r="U35" s="1485"/>
      <c r="V35" s="2377" t="str">
        <f>IF(TITLE_DATE_PR_CHANGE="",IF(TITLE_DATE_PR="","",TITLE_DATE_PR),TITLE_DATE_PR_CHANGE)</f>
        <v>45408.605891203704</v>
      </c>
      <c r="W35" s="2377"/>
      <c r="X35" s="2377"/>
      <c r="Y35" s="2377"/>
      <c r="Z35" s="2377"/>
      <c r="AA35" s="439"/>
      <c r="AB35" s="2377" t="str">
        <f>IF(TITLE_DATE_PR_CHANGE="",IF(TITLE_DATE_PR="","",TITLE_DATE_PR),TITLE_DATE_PR_CHANGE)</f>
        <v>45408.605891203704</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04" customFormat="1" customHeight="1" ht="18">
      <c r="A36" s="1481"/>
      <c r="B36" s="1481"/>
      <c r="C36" s="1481"/>
      <c r="D36" s="1481"/>
      <c r="E36" s="1481"/>
      <c r="F36" s="1481"/>
      <c r="G36" s="1481"/>
      <c r="H36" s="1481"/>
      <c r="I36" s="1481"/>
      <c r="J36" s="1481"/>
      <c r="K36" s="1481"/>
      <c r="L36" s="1482"/>
      <c r="M36" s="1481"/>
      <c r="N36" s="1481"/>
      <c r="O36" s="1481"/>
      <c r="P36" s="1481"/>
      <c r="Q36" s="1481"/>
      <c r="S36" s="2363" t="s">
        <v>515</v>
      </c>
      <c r="T36" s="2363"/>
      <c r="U36" s="1485"/>
      <c r="V36" s="2364" t="str">
        <f>IF(TITLE_NUMBER_PR_CHANGE="",IF(TITLE_NUMBER_PR="","",TITLE_NUMBER_PR),TITLE_NUMBER_PR_CHANGE)</f>
        <v>27-2139</v>
      </c>
      <c r="W36" s="2364"/>
      <c r="X36" s="2364"/>
      <c r="Y36" s="2364"/>
      <c r="Z36" s="2364"/>
      <c r="AA36" s="439"/>
      <c r="AB36" s="2364" t="str">
        <f>IF(TITLE_NUMBER_PR_CHANGE="",IF(TITLE_NUMBER_PR="","",TITLE_NUMBER_PR),TITLE_NUMBER_PR_CHANGE)</f>
        <v>27-2139</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04"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518</v>
      </c>
      <c r="AB37" s="439"/>
      <c r="AC37" s="439"/>
      <c r="AD37" s="439"/>
      <c r="AE37" s="439"/>
      <c r="AF37" s="439"/>
      <c r="AG37" s="439"/>
      <c r="AH37" s="439"/>
      <c r="AI37" s="439"/>
      <c r="AJ37" s="439"/>
      <c r="AK37" s="439"/>
      <c r="AL37" s="439"/>
      <c r="AM37" s="439"/>
      <c r="AN37" s="439"/>
      <c r="AO37" s="439"/>
      <c r="AP37" s="439"/>
      <c r="AQ37" s="439"/>
      <c r="AR37" s="439"/>
      <c r="AS37" s="391" t="s">
        <v>518</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393</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394</v>
      </c>
      <c r="BA39" s="1268">
        <v>14</v>
      </c>
    </row>
    <row customHeight="1" ht="14.699999999999998">
      <c r="Q40" s="404"/>
      <c r="R40" s="489"/>
      <c r="S40" s="2386" t="s">
        <v>88</v>
      </c>
      <c r="T40" s="2322" t="s">
        <v>563</v>
      </c>
      <c r="U40" s="414"/>
      <c r="V40" s="2388"/>
      <c r="W40" s="2388"/>
      <c r="X40" s="2388"/>
      <c r="Y40" s="2388"/>
      <c r="Z40" s="2389"/>
      <c r="AA40" s="2449" t="s">
        <v>521</v>
      </c>
      <c r="AB40" s="2441" t="s">
        <v>564</v>
      </c>
      <c r="AC40" s="2404"/>
      <c r="AD40" s="2404"/>
      <c r="AE40" s="2442"/>
      <c r="AF40" s="2404" t="s">
        <v>565</v>
      </c>
      <c r="AG40" s="2404"/>
      <c r="AH40" s="2404"/>
      <c r="AI40" s="2442"/>
      <c r="AJ40" s="2441" t="s">
        <v>566</v>
      </c>
      <c r="AK40" s="2404"/>
      <c r="AL40" s="2404"/>
      <c r="AM40" s="2442"/>
      <c r="AN40" s="2441" t="s">
        <v>520</v>
      </c>
      <c r="AO40" s="2404"/>
      <c r="AP40" s="2388"/>
      <c r="AQ40" s="2388"/>
      <c r="AR40" s="2389"/>
      <c r="AS40" s="2390" t="s">
        <v>521</v>
      </c>
      <c r="AT40" s="2393" t="s">
        <v>523</v>
      </c>
      <c r="AU40" s="2240"/>
      <c r="BA40" s="1268">
        <v>14</v>
      </c>
    </row>
    <row customHeight="1" ht="35.699999999999996">
      <c r="Q41" s="404"/>
      <c r="R41" s="489"/>
      <c r="S41" s="2386"/>
      <c r="T41" s="2322"/>
      <c r="U41" s="1144"/>
      <c r="V41" s="2240" t="s">
        <v>567</v>
      </c>
      <c r="W41" s="2240"/>
      <c r="X41" s="2407" t="s">
        <v>527</v>
      </c>
      <c r="Y41" s="2426"/>
      <c r="Z41" s="2427"/>
      <c r="AA41" s="2450"/>
      <c r="AB41" s="2443"/>
      <c r="AC41" s="2444"/>
      <c r="AD41" s="2444"/>
      <c r="AE41" s="2445"/>
      <c r="AF41" s="2444"/>
      <c r="AG41" s="2444"/>
      <c r="AH41" s="2444"/>
      <c r="AI41" s="2445"/>
      <c r="AJ41" s="2443"/>
      <c r="AK41" s="2444"/>
      <c r="AL41" s="2444"/>
      <c r="AM41" s="2444"/>
      <c r="AN41" s="2240" t="s">
        <v>567</v>
      </c>
      <c r="AO41" s="2240"/>
      <c r="AP41" s="2426" t="s">
        <v>527</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167</v>
      </c>
      <c r="C43" s="1483" t="s">
        <v>168</v>
      </c>
      <c r="D43" s="1483" t="s">
        <v>169</v>
      </c>
      <c r="E43" s="1477" t="s">
        <v>528</v>
      </c>
      <c r="F43" s="1477" t="s">
        <v>529</v>
      </c>
      <c r="G43" s="1477" t="s">
        <v>530</v>
      </c>
      <c r="H43" s="1477" t="s">
        <v>531</v>
      </c>
      <c r="I43" s="1477" t="s">
        <v>532</v>
      </c>
      <c r="J43" s="1477" t="s">
        <v>533</v>
      </c>
      <c r="K43" s="1477" t="s">
        <v>534</v>
      </c>
      <c r="L43" s="1477" t="s">
        <v>509</v>
      </c>
      <c r="Q43" s="404"/>
      <c r="R43" s="489"/>
      <c r="S43" s="2386"/>
      <c r="T43" s="2322"/>
      <c r="U43" s="415"/>
      <c r="V43" s="1443" t="s">
        <v>568</v>
      </c>
      <c r="W43" s="1443" t="s">
        <v>569</v>
      </c>
      <c r="X43" s="1451" t="s">
        <v>537</v>
      </c>
      <c r="Y43" s="2383" t="s">
        <v>538</v>
      </c>
      <c r="Z43" s="2384"/>
      <c r="AA43" s="2451"/>
      <c r="AB43" s="2446"/>
      <c r="AC43" s="2447"/>
      <c r="AD43" s="2447"/>
      <c r="AE43" s="2448"/>
      <c r="AF43" s="2447"/>
      <c r="AG43" s="2447"/>
      <c r="AH43" s="2447"/>
      <c r="AI43" s="2448"/>
      <c r="AJ43" s="2446"/>
      <c r="AK43" s="2447"/>
      <c r="AL43" s="2447"/>
      <c r="AM43" s="2448"/>
      <c r="AN43" s="1973" t="s">
        <v>568</v>
      </c>
      <c r="AO43" s="1973" t="s">
        <v>569</v>
      </c>
      <c r="AP43" s="1451" t="s">
        <v>537</v>
      </c>
      <c r="AQ43" s="2383" t="s">
        <v>538</v>
      </c>
      <c r="AR43" s="2384"/>
      <c r="AS43" s="2392"/>
      <c r="AT43" s="2395"/>
      <c r="AU43" s="2240"/>
      <c r="BA43" s="1268">
        <v>14</v>
      </c>
    </row>
    <row s="6074"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136</v>
      </c>
      <c r="T44" s="1368" t="s">
        <v>103</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229</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155</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229</v>
      </c>
      <c r="B46" s="1476" t="s">
        <v>230</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490</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491</v>
      </c>
      <c r="AW46" s="613"/>
      <c r="AX46" s="613" t="str">
        <f>IF(T46="","",T46)</f>
        <v>Территория действия тарифа</v>
      </c>
      <c r="AY46" s="613"/>
      <c r="AZ46" s="613"/>
      <c r="BA46" s="1268">
        <v>21</v>
      </c>
    </row>
    <row customHeight="1" ht="24">
      <c r="A47" s="1476" t="s">
        <v>229</v>
      </c>
      <c r="B47" s="1476" t="s">
        <v>230</v>
      </c>
      <c r="C47" s="1476" t="s">
        <v>231</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492</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493</v>
      </c>
      <c r="AW47" s="613"/>
      <c r="AX47" s="613" t="str">
        <f>IF(T47="","",T47)</f>
        <v>Наименование системы теплоснабжения </v>
      </c>
      <c r="AY47" s="613"/>
      <c r="AZ47" s="613"/>
      <c r="BA47" s="1268">
        <v>23</v>
      </c>
    </row>
    <row customHeight="1" ht="21">
      <c r="A48" s="1476" t="s">
        <v>229</v>
      </c>
      <c r="B48" s="1476" t="s">
        <v>230</v>
      </c>
      <c r="C48" s="1476" t="s">
        <v>231</v>
      </c>
      <c r="D48" s="1476" t="s">
        <v>232</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494</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495</v>
      </c>
      <c r="AW48" s="613"/>
      <c r="AX48" s="613" t="str">
        <f>IF(T48="","",T48)</f>
        <v>Источник тепловой энергии  </v>
      </c>
      <c r="AY48" s="613"/>
      <c r="AZ48" s="613"/>
      <c r="BA48" s="1268">
        <v>20</v>
      </c>
    </row>
    <row s="5468" customFormat="1" customHeight="1" ht="1.05">
      <c r="A49" s="1456" t="s">
        <v>229</v>
      </c>
      <c r="B49" s="1456" t="s">
        <v>230</v>
      </c>
      <c r="C49" s="1456" t="s">
        <v>231</v>
      </c>
      <c r="D49" s="1456" t="s">
        <v>232</v>
      </c>
      <c r="E49" s="2372"/>
      <c r="F49" s="2372"/>
      <c r="G49" s="2372"/>
      <c r="H49" s="2372"/>
      <c r="I49" s="2369" t="str">
        <f>S48&amp;".1"</f>
        <v>....1</v>
      </c>
      <c r="J49" s="1456"/>
      <c r="K49" s="1456"/>
      <c r="L49" s="1459" t="s">
        <v>496</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68" customFormat="1" customHeight="1" ht="1.05">
      <c r="A50" s="1456" t="s">
        <v>229</v>
      </c>
      <c r="B50" s="1456" t="s">
        <v>230</v>
      </c>
      <c r="C50" s="1456" t="s">
        <v>231</v>
      </c>
      <c r="D50" s="1456" t="s">
        <v>232</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229</v>
      </c>
      <c r="B51" s="1476" t="s">
        <v>230</v>
      </c>
      <c r="C51" s="1476" t="s">
        <v>231</v>
      </c>
      <c r="D51" s="1476" t="s">
        <v>232</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66</v>
      </c>
      <c r="AR51" s="1847"/>
      <c r="AS51" s="1572" t="s">
        <v>66</v>
      </c>
      <c r="AT51" s="1461"/>
      <c r="AU51" s="2366" t="s">
        <v>570</v>
      </c>
      <c r="AV51" s="624">
        <f>STRCHECKDATE(V54:AT54)</f>
      </c>
      <c r="AW51" s="613"/>
      <c r="AX51" s="613" t="str">
        <f>IF(T51="","",T51)</f>
        <v/>
      </c>
      <c r="AY51" s="613"/>
      <c r="AZ51" s="613"/>
      <c r="BA51" s="1268">
        <v>21</v>
      </c>
    </row>
    <row customHeight="1" ht="11.549999999999999">
      <c r="A52" s="1476" t="s">
        <v>229</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555</v>
      </c>
      <c r="AN52" s="1506"/>
      <c r="AO52" s="1609"/>
      <c r="AP52" s="1506"/>
      <c r="AQ52" s="1506"/>
      <c r="AR52" s="1506"/>
      <c r="AS52" s="1506"/>
      <c r="AT52" s="1503"/>
      <c r="AU52" s="2367"/>
      <c r="AW52" s="613"/>
      <c r="AX52" s="613"/>
      <c r="AY52" s="613"/>
      <c r="AZ52" s="613"/>
      <c r="BA52" s="1268">
        <v>11</v>
      </c>
    </row>
    <row customHeight="1" ht="11.549999999999999">
      <c r="A53" s="1476" t="s">
        <v>229</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556</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229</v>
      </c>
      <c r="B54" s="1476" t="s">
        <v>230</v>
      </c>
      <c r="C54" s="1476" t="s">
        <v>231</v>
      </c>
      <c r="D54" s="1476" t="s">
        <v>232</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557</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229</v>
      </c>
      <c r="B55" s="1476" t="s">
        <v>230</v>
      </c>
      <c r="C55" s="1476" t="s">
        <v>231</v>
      </c>
      <c r="D55" s="1476" t="s">
        <v>232</v>
      </c>
      <c r="E55" s="2372"/>
      <c r="F55" s="2372"/>
      <c r="G55" s="2372"/>
      <c r="H55" s="2372"/>
      <c r="I55" s="2399"/>
      <c r="J55" s="2369"/>
      <c r="K55" s="1476"/>
      <c r="L55" s="1477"/>
      <c r="P55" s="2370"/>
      <c r="Q55" s="2370"/>
      <c r="R55" s="469"/>
      <c r="S55" s="1391"/>
      <c r="T55" s="400" t="s">
        <v>558</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68" customFormat="1" customHeight="1" ht="1.05">
      <c r="A56" s="1456" t="s">
        <v>229</v>
      </c>
      <c r="B56" s="1456" t="s">
        <v>230</v>
      </c>
      <c r="C56" s="1456" t="s">
        <v>231</v>
      </c>
      <c r="D56" s="1456" t="s">
        <v>232</v>
      </c>
      <c r="E56" s="2372"/>
      <c r="F56" s="2372"/>
      <c r="G56" s="2372"/>
      <c r="H56" s="2372"/>
      <c r="I56" s="2369"/>
      <c r="J56" s="1456"/>
      <c r="K56" s="1456"/>
      <c r="L56" s="1459"/>
      <c r="M56" s="623"/>
      <c r="N56" s="623"/>
      <c r="O56" s="623"/>
      <c r="P56" s="2370"/>
      <c r="Q56" s="1444"/>
      <c r="R56" s="469"/>
      <c r="S56" s="1499"/>
      <c r="T56" s="1500" t="s">
        <v>505</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74" customFormat="1" customHeight="1" ht="1.05">
      <c r="A57" s="1456" t="s">
        <v>229</v>
      </c>
      <c r="B57" s="1456" t="s">
        <v>230</v>
      </c>
      <c r="C57" s="1456" t="s">
        <v>231</v>
      </c>
      <c r="D57" s="1456" t="s">
        <v>232</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68" customFormat="1" customHeight="1" ht="1.05">
      <c r="A58" s="1456" t="s">
        <v>229</v>
      </c>
      <c r="B58" s="1456" t="s">
        <v>230</v>
      </c>
      <c r="C58" s="1456" t="s">
        <v>231</v>
      </c>
      <c r="D58" s="1427"/>
      <c r="E58" s="2372"/>
      <c r="F58" s="2372"/>
      <c r="G58" s="2371"/>
      <c r="H58" s="1427"/>
      <c r="I58" s="1427"/>
      <c r="J58" s="1427"/>
      <c r="K58" s="1427"/>
      <c r="L58" s="1452"/>
      <c r="M58" s="1428"/>
      <c r="N58" s="1428"/>
      <c r="P58" s="1429"/>
      <c r="Q58" s="1430"/>
      <c r="R58" s="1429"/>
      <c r="S58" s="1435"/>
      <c r="T58" s="1438" t="s">
        <v>507</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68" customFormat="1" customHeight="1" ht="1.05">
      <c r="A59" s="1456" t="s">
        <v>229</v>
      </c>
      <c r="B59" s="1456" t="s">
        <v>230</v>
      </c>
      <c r="C59" s="1427"/>
      <c r="D59" s="1427"/>
      <c r="E59" s="2372"/>
      <c r="F59" s="2371"/>
      <c r="G59" s="1427"/>
      <c r="H59" s="1427"/>
      <c r="I59" s="1427"/>
      <c r="J59" s="1427"/>
      <c r="K59" s="1427"/>
      <c r="L59" s="1452"/>
      <c r="M59" s="1434"/>
      <c r="N59" s="1434"/>
      <c r="P59" s="1429"/>
      <c r="Q59" s="1430"/>
      <c r="R59" s="1429"/>
      <c r="S59" s="1435"/>
      <c r="T59" s="1438" t="s">
        <v>312</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68" customFormat="1" customHeight="1" ht="1.05">
      <c r="A60" s="1456" t="s">
        <v>229</v>
      </c>
      <c r="B60" s="1456"/>
      <c r="C60" s="1456"/>
      <c r="D60" s="1456"/>
      <c r="E60" s="2372"/>
      <c r="F60" s="1456"/>
      <c r="G60" s="1456"/>
      <c r="H60" s="1456"/>
      <c r="I60" s="1456"/>
      <c r="J60" s="1456"/>
      <c r="K60" s="1456"/>
      <c r="L60" s="1459"/>
      <c r="M60" s="1434"/>
      <c r="N60" s="1434"/>
      <c r="O60" s="631"/>
      <c r="P60" s="493"/>
      <c r="Q60" s="1457"/>
      <c r="R60" s="493"/>
      <c r="S60" s="1435"/>
      <c r="T60" s="1438" t="s">
        <v>360</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68" customFormat="1" customHeight="1" ht="1.05">
      <c r="A61" s="1456" t="s">
        <v>229</v>
      </c>
      <c r="B61" s="1456"/>
      <c r="C61" s="1456"/>
      <c r="D61" s="1456"/>
      <c r="E61" s="2371"/>
      <c r="F61" s="1456"/>
      <c r="G61" s="1456"/>
      <c r="H61" s="1456"/>
      <c r="I61" s="1456"/>
      <c r="J61" s="1456"/>
      <c r="K61" s="1456"/>
      <c r="L61" s="1459"/>
      <c r="M61" s="1434"/>
      <c r="N61" s="1434"/>
      <c r="O61" s="631"/>
      <c r="P61" s="493"/>
      <c r="Q61" s="1457"/>
      <c r="R61" s="493"/>
      <c r="S61" s="1435"/>
      <c r="T61" s="1438" t="s">
        <v>360</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68"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361</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89FB1-006B-AA56-FC9B-43B654594B5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7" width="10.57421875" hidden="1"/>
    <col min="2" max="2" style="5467" width="11.00390625" hidden="1" customWidth="1"/>
    <col min="3" max="3" style="5467" width="10.57421875" hidden="1"/>
    <col min="4" max="4" style="5467" width="11.8515625" hidden="1" customWidth="1"/>
    <col min="5" max="5" style="5467" width="10.00390625" hidden="1" customWidth="1"/>
    <col min="6" max="6" style="5467" width="8.7109375" hidden="1" customWidth="1"/>
    <col min="7" max="7" style="5467" width="7.57421875" hidden="1" customWidth="1"/>
    <col min="8" max="8" style="5467" width="11.421875" hidden="1" customWidth="1"/>
    <col min="9" max="9" style="5467" width="14.140625" hidden="1" customWidth="1"/>
    <col min="10" max="10" style="5467" width="9.8515625" hidden="1" customWidth="1"/>
    <col min="11" max="11" style="5467" width="14.7109375" hidden="1" customWidth="1"/>
    <col min="12" max="12" style="6316" width="19.140625" hidden="1" customWidth="1"/>
    <col min="13" max="14" style="6317" width="12.28125" hidden="1" customWidth="1"/>
    <col min="15" max="15" style="6317" width="23.421875" hidden="1" customWidth="1"/>
    <col min="16" max="16" style="6318" width="3.00390625" customWidth="1"/>
    <col min="17" max="18" style="6319" width="3.00390625" customWidth="1"/>
    <col min="19" max="19" style="6320" width="12.00390625" customWidth="1"/>
    <col min="20" max="20" style="5387" width="35.00390625" customWidth="1"/>
    <col min="21" max="21" style="5387" width="0.140625" customWidth="1"/>
    <col min="22" max="24" style="5387" width="24.7109375" hidden="1" customWidth="1"/>
    <col min="25" max="25" style="5387" width="11.7109375" hidden="1" customWidth="1"/>
    <col min="26" max="26" style="5387" width="3.7109375" hidden="1" customWidth="1"/>
    <col min="27" max="27" style="5387" width="11.7109375" hidden="1" customWidth="1"/>
    <col min="28" max="28" style="5387" width="8.57421875" hidden="1" customWidth="1"/>
    <col min="29" max="29" style="5387" width="24.7109375" customWidth="1"/>
    <col min="30" max="31" style="5387" width="24.00390625" customWidth="1"/>
    <col min="32" max="32" style="5387" width="11.00390625" customWidth="1"/>
    <col min="33" max="33" style="5387" width="3.7109375" customWidth="1"/>
    <col min="34" max="34" style="5387" width="11.00390625" customWidth="1"/>
    <col min="35" max="35" style="5387" width="8.57421875" hidden="1" customWidth="1"/>
    <col min="36" max="36" style="5387" width="4.00390625" customWidth="1"/>
    <col min="37" max="37" style="5387" width="115.00390625" customWidth="1"/>
    <col min="38" max="42" style="5468" width="10.00390625" customWidth="1"/>
    <col min="43" max="43" style="538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155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490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491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571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572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573</v>
      </c>
      <c r="U5" s="413"/>
      <c r="V5" s="2463"/>
      <c r="W5" s="2464"/>
      <c r="X5" s="2464"/>
      <c r="Y5" s="2464"/>
      <c r="Z5" s="2464"/>
      <c r="AA5" s="2464"/>
      <c r="AB5" s="2465"/>
      <c r="AC5" s="2466"/>
      <c r="AD5" s="2467"/>
      <c r="AE5" s="2467"/>
      <c r="AF5" s="2467"/>
      <c r="AG5" s="2467"/>
      <c r="AH5" s="2467"/>
      <c r="AI5" s="2467"/>
      <c r="AJ5" s="2468"/>
      <c r="AK5" s="1371" t="s">
        <v>574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499</v>
      </c>
      <c r="P6" s="2370"/>
      <c r="Q6" s="2370">
        <v>1</v>
      </c>
      <c r="R6" s="470"/>
      <c r="S6" s="1538">
        <f>$J6</f>
      </c>
      <c r="T6" s="399" t="s">
        <v>500</v>
      </c>
      <c r="U6" s="413"/>
      <c r="V6" s="2358"/>
      <c r="W6" s="2359"/>
      <c r="X6" s="2359"/>
      <c r="Y6" s="2359"/>
      <c r="Z6" s="2359"/>
      <c r="AA6" s="2359"/>
      <c r="AB6" s="2360"/>
      <c r="AC6" s="2358"/>
      <c r="AD6" s="2359"/>
      <c r="AE6" s="2359"/>
      <c r="AF6" s="2359"/>
      <c r="AG6" s="2359"/>
      <c r="AH6" s="2359"/>
      <c r="AI6" s="2359"/>
      <c r="AJ6" s="2360"/>
      <c r="AK6" s="1420" t="s">
        <v>575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576</v>
      </c>
      <c r="U9" s="480"/>
      <c r="V9" s="480"/>
      <c r="W9" s="480"/>
      <c r="X9" s="480"/>
      <c r="Y9" s="480"/>
      <c r="Z9" s="480"/>
      <c r="AA9" s="480"/>
      <c r="AB9" s="480"/>
      <c r="AC9" s="480"/>
      <c r="AD9" s="480"/>
      <c r="AE9" s="480"/>
      <c r="AF9" s="480"/>
      <c r="AG9" s="480"/>
      <c r="AH9" s="480"/>
      <c r="AI9" s="480"/>
      <c r="AJ9" s="480"/>
      <c r="AK9" s="1371" t="s">
        <v>577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505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578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8"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312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360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7" customFormat="1" customHeight="1" ht="22.5" hidden="1">
      <c r="L18" s="1534"/>
      <c r="M18" s="1475"/>
      <c r="N18" s="1475"/>
      <c r="O18" s="1480" t="s">
        <v>508</v>
      </c>
      <c r="P18" s="1475"/>
      <c r="Q18" s="1484"/>
      <c r="R18" s="1484"/>
      <c r="S18" s="842"/>
      <c r="Y18" s="1480"/>
      <c r="AA18" s="1480"/>
      <c r="AB18" s="1479"/>
      <c r="AF18" s="1480"/>
      <c r="AH18" s="1480"/>
      <c r="AI18" s="1479"/>
      <c r="AL18" s="624"/>
      <c r="AM18" s="624"/>
      <c r="AN18" s="624"/>
      <c r="AO18" s="624"/>
      <c r="AP18" s="624"/>
      <c r="AQ18" s="1273">
        <v>0</v>
      </c>
    </row>
    <row s="5467" customFormat="1" customHeight="1" ht="14.25" hidden="1">
      <c r="L19" s="1534"/>
      <c r="M19" s="1475"/>
      <c r="N19" s="1475"/>
      <c r="O19" s="1475"/>
      <c r="P19" s="1475"/>
      <c r="Q19" s="1484"/>
      <c r="R19" s="1484"/>
      <c r="S19" s="842"/>
      <c r="AB19" s="1479"/>
      <c r="AI19" s="1479"/>
      <c r="AL19" s="624"/>
      <c r="AM19" s="624"/>
      <c r="AN19" s="624"/>
      <c r="AO19" s="624"/>
      <c r="AP19" s="624"/>
      <c r="AQ19" s="1273">
        <v>0</v>
      </c>
    </row>
    <row s="5467" customFormat="1" customHeight="1" ht="12" hidden="1">
      <c r="L20" s="1534"/>
      <c r="M20" s="1475"/>
      <c r="N20" s="1475"/>
      <c r="O20" s="1477" t="s">
        <v>509</v>
      </c>
      <c r="P20" s="1475"/>
      <c r="Q20" s="1555"/>
      <c r="R20" s="1555"/>
      <c r="S20" s="842"/>
      <c r="T20" s="1273" t="s">
        <v>510</v>
      </c>
      <c r="Z20" s="299" t="s">
        <v>511</v>
      </c>
      <c r="AB20" s="299" t="s">
        <v>512</v>
      </c>
      <c r="AC20" s="1273" t="s">
        <v>510</v>
      </c>
      <c r="AG20" s="299" t="s">
        <v>513</v>
      </c>
      <c r="AI20" s="299" t="s">
        <v>512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0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04" customFormat="1" customHeight="1" ht="18.75" hidden="1">
      <c r="A28" s="1481"/>
      <c r="B28" s="1481"/>
      <c r="C28" s="1481"/>
      <c r="D28" s="1481"/>
      <c r="E28" s="1481"/>
      <c r="F28" s="1481"/>
      <c r="G28" s="1481"/>
      <c r="H28" s="1481"/>
      <c r="I28" s="1481"/>
      <c r="J28" s="1481"/>
      <c r="K28" s="1481"/>
      <c r="L28" s="1482"/>
      <c r="M28" s="1481"/>
      <c r="N28" s="1481"/>
      <c r="O28" s="1481"/>
      <c r="S28" s="2363" t="s">
        <v>514</v>
      </c>
      <c r="T28" s="2363"/>
      <c r="U28" s="1485"/>
      <c r="V28" s="2377" t="str">
        <f>IF(TITLE_DATE_PR_CHANGE="",IF(TITLE_DATE_PR="","",TITLE_DATE_PR),TITLE_DATE_PR_CHANGE)</f>
        <v>45408.605891203704</v>
      </c>
      <c r="W28" s="2377"/>
      <c r="X28" s="2377"/>
      <c r="Y28" s="2377"/>
      <c r="Z28" s="2377"/>
      <c r="AA28" s="2377"/>
      <c r="AB28" s="439"/>
      <c r="AC28" s="2377" t="str">
        <f>IF(TITLE_DATE_PR_CHANGE="",IF(TITLE_DATE_PR="","",TITLE_DATE_PR),TITLE_DATE_PR_CHANGE)</f>
        <v>45408.605891203704</v>
      </c>
      <c r="AD28" s="2377"/>
      <c r="AE28" s="2377"/>
      <c r="AF28" s="2377"/>
      <c r="AG28" s="2377"/>
      <c r="AH28" s="2377"/>
      <c r="AI28" s="439"/>
      <c r="AJ28" s="439"/>
      <c r="AK28" s="393"/>
      <c r="AL28" s="481"/>
      <c r="AM28" s="481"/>
      <c r="AN28" s="481"/>
      <c r="AO28" s="481"/>
      <c r="AP28" s="481"/>
      <c r="AQ28" s="531">
        <v>0</v>
      </c>
    </row>
    <row s="5604" customFormat="1" customHeight="1" ht="18.75" hidden="1">
      <c r="A29" s="1481"/>
      <c r="B29" s="1481"/>
      <c r="C29" s="1481"/>
      <c r="D29" s="1481"/>
      <c r="E29" s="1481"/>
      <c r="F29" s="1481"/>
      <c r="G29" s="1481"/>
      <c r="H29" s="1481"/>
      <c r="I29" s="1481"/>
      <c r="J29" s="1481"/>
      <c r="K29" s="1481"/>
      <c r="L29" s="1482"/>
      <c r="M29" s="1481"/>
      <c r="N29" s="1481"/>
      <c r="O29" s="1481"/>
      <c r="S29" s="2363" t="s">
        <v>515</v>
      </c>
      <c r="T29" s="2363"/>
      <c r="U29" s="1485"/>
      <c r="V29" s="2364" t="str">
        <f>IF(TITLE_NUMBER_PR_CHANGE="",IF(TITLE_NUMBER_PR="","",TITLE_NUMBER_PR),TITLE_NUMBER_PR_CHANGE)</f>
        <v>27-2139</v>
      </c>
      <c r="W29" s="2364"/>
      <c r="X29" s="2364"/>
      <c r="Y29" s="2364"/>
      <c r="Z29" s="2364"/>
      <c r="AA29" s="2364"/>
      <c r="AB29" s="439"/>
      <c r="AC29" s="2364" t="str">
        <f>IF(TITLE_NUMBER_PR_CHANGE="",IF(TITLE_NUMBER_PR="","",TITLE_NUMBER_PR),TITLE_NUMBER_PR_CHANGE)</f>
        <v>27-2139</v>
      </c>
      <c r="AD29" s="2364"/>
      <c r="AE29" s="2364"/>
      <c r="AF29" s="2364"/>
      <c r="AG29" s="2364"/>
      <c r="AH29" s="2364"/>
      <c r="AI29" s="439"/>
      <c r="AJ29" s="439"/>
      <c r="AK29" s="393"/>
      <c r="AL29" s="481"/>
      <c r="AM29" s="481"/>
      <c r="AN29" s="481"/>
      <c r="AO29" s="481"/>
      <c r="AP29" s="481"/>
      <c r="AQ29" s="531">
        <v>0</v>
      </c>
    </row>
    <row s="560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04" customFormat="1" customHeight="1" ht="18.75">
      <c r="A32" s="1481"/>
      <c r="B32" s="1481"/>
      <c r="C32" s="1481"/>
      <c r="D32" s="1481"/>
      <c r="E32" s="1481"/>
      <c r="F32" s="1481"/>
      <c r="G32" s="1481"/>
      <c r="H32" s="1481"/>
      <c r="I32" s="1481"/>
      <c r="J32" s="1481"/>
      <c r="K32" s="1481"/>
      <c r="L32" s="1482"/>
      <c r="M32" s="1481"/>
      <c r="N32" s="1481"/>
      <c r="O32" s="1481"/>
      <c r="S32" s="2363" t="s">
        <v>516</v>
      </c>
      <c r="T32" s="2363"/>
      <c r="U32" s="1485"/>
      <c r="V32" s="2377" t="str">
        <f>IF(TITLE_DATE_PR_CHANGE="",IF(TITLE_DATE_PR="","",TITLE_DATE_PR),TITLE_DATE_PR_CHANGE)</f>
        <v>45408.605891203704</v>
      </c>
      <c r="W32" s="2377"/>
      <c r="X32" s="2377"/>
      <c r="Y32" s="2377"/>
      <c r="Z32" s="2377"/>
      <c r="AA32" s="2377"/>
      <c r="AB32" s="439"/>
      <c r="AC32" s="2377" t="str">
        <f>IF(TITLE_DATE_PR_CHANGE="",IF(TITLE_DATE_PR="","",TITLE_DATE_PR),TITLE_DATE_PR_CHANGE)</f>
        <v>45408.605891203704</v>
      </c>
      <c r="AD32" s="2377"/>
      <c r="AE32" s="2377"/>
      <c r="AF32" s="2377"/>
      <c r="AG32" s="2377"/>
      <c r="AH32" s="2377"/>
      <c r="AI32" s="439"/>
      <c r="AJ32" s="439"/>
      <c r="AK32" s="393"/>
      <c r="AL32" s="481"/>
      <c r="AM32" s="481"/>
      <c r="AN32" s="481"/>
      <c r="AO32" s="481"/>
      <c r="AP32" s="481"/>
      <c r="AQ32" s="531">
        <v>0</v>
      </c>
    </row>
    <row s="5604" customFormat="1" customHeight="1" ht="18.75">
      <c r="A33" s="1481"/>
      <c r="B33" s="1481"/>
      <c r="C33" s="1481"/>
      <c r="D33" s="1481"/>
      <c r="E33" s="1481"/>
      <c r="F33" s="1481"/>
      <c r="G33" s="1481"/>
      <c r="H33" s="1481"/>
      <c r="I33" s="1481"/>
      <c r="J33" s="1481"/>
      <c r="K33" s="1481"/>
      <c r="L33" s="1482"/>
      <c r="M33" s="1481"/>
      <c r="N33" s="1481"/>
      <c r="O33" s="1481"/>
      <c r="S33" s="2363" t="s">
        <v>517</v>
      </c>
      <c r="T33" s="2363"/>
      <c r="U33" s="1485"/>
      <c r="V33" s="2364" t="str">
        <f>IF(TITLE_NUMBER_PR_CHANGE="",IF(TITLE_NUMBER_PR="","",TITLE_NUMBER_PR),TITLE_NUMBER_PR_CHANGE)</f>
        <v>27-2139</v>
      </c>
      <c r="W33" s="2364"/>
      <c r="X33" s="2364"/>
      <c r="Y33" s="2364"/>
      <c r="Z33" s="2364"/>
      <c r="AA33" s="2364"/>
      <c r="AB33" s="439"/>
      <c r="AC33" s="2364" t="str">
        <f>IF(TITLE_NUMBER_PR_CHANGE="",IF(TITLE_NUMBER_PR="","",TITLE_NUMBER_PR),TITLE_NUMBER_PR_CHANGE)</f>
        <v>27-2139</v>
      </c>
      <c r="AD33" s="2364"/>
      <c r="AE33" s="2364"/>
      <c r="AF33" s="2364"/>
      <c r="AG33" s="2364"/>
      <c r="AH33" s="2364"/>
      <c r="AI33" s="439"/>
      <c r="AJ33" s="439"/>
      <c r="AK33" s="393"/>
      <c r="AL33" s="481"/>
      <c r="AM33" s="481"/>
      <c r="AN33" s="481"/>
      <c r="AO33" s="481"/>
      <c r="AP33" s="481"/>
      <c r="AQ33" s="531">
        <v>0</v>
      </c>
    </row>
    <row s="5604"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518</v>
      </c>
      <c r="AC34" s="439"/>
      <c r="AD34" s="439"/>
      <c r="AE34" s="439"/>
      <c r="AF34" s="439"/>
      <c r="AG34" s="439"/>
      <c r="AH34" s="439"/>
      <c r="AI34" s="391" t="s">
        <v>518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393</v>
      </c>
      <c r="T36" s="2240"/>
      <c r="U36" s="2240"/>
      <c r="V36" s="2240"/>
      <c r="W36" s="2240"/>
      <c r="X36" s="2240"/>
      <c r="Y36" s="2240"/>
      <c r="Z36" s="2240"/>
      <c r="AA36" s="2240"/>
      <c r="AB36" s="2240"/>
      <c r="AC36" s="2240"/>
      <c r="AD36" s="2240"/>
      <c r="AE36" s="2240"/>
      <c r="AF36" s="2240"/>
      <c r="AG36" s="2240"/>
      <c r="AH36" s="2240"/>
      <c r="AI36" s="2240"/>
      <c r="AJ36" s="2240"/>
      <c r="AK36" s="2240" t="s">
        <v>394</v>
      </c>
      <c r="AQ36" s="1268">
        <v>14</v>
      </c>
    </row>
    <row customHeight="1" ht="14.699999999999998">
      <c r="Q37" s="489"/>
      <c r="R37" s="489"/>
      <c r="S37" s="2386" t="s">
        <v>88</v>
      </c>
      <c r="T37" s="2322" t="s">
        <v>519</v>
      </c>
      <c r="U37" s="414"/>
      <c r="V37" s="2387" t="s">
        <v>520</v>
      </c>
      <c r="W37" s="2388"/>
      <c r="X37" s="2388"/>
      <c r="Y37" s="2388"/>
      <c r="Z37" s="2388"/>
      <c r="AA37" s="2389"/>
      <c r="AB37" s="2390" t="s">
        <v>521</v>
      </c>
      <c r="AC37" s="2387" t="s">
        <v>520</v>
      </c>
      <c r="AD37" s="2388"/>
      <c r="AE37" s="2388"/>
      <c r="AF37" s="2388"/>
      <c r="AG37" s="2388"/>
      <c r="AH37" s="2389"/>
      <c r="AI37" s="2390" t="s">
        <v>522</v>
      </c>
      <c r="AJ37" s="2393" t="s">
        <v>523</v>
      </c>
      <c r="AK37" s="2240"/>
      <c r="AQ37" s="1268">
        <v>14</v>
      </c>
    </row>
    <row customHeight="1" ht="35.699999999999996">
      <c r="Q38" s="489"/>
      <c r="R38" s="489"/>
      <c r="S38" s="2386"/>
      <c r="T38" s="2322"/>
      <c r="U38" s="1144"/>
      <c r="V38" s="1465" t="s">
        <v>579</v>
      </c>
      <c r="W38" s="2375" t="s">
        <v>526</v>
      </c>
      <c r="X38" s="2376"/>
      <c r="Y38" s="2375" t="s">
        <v>527</v>
      </c>
      <c r="Z38" s="2382"/>
      <c r="AA38" s="2376"/>
      <c r="AB38" s="2391"/>
      <c r="AC38" s="1465" t="s">
        <v>579</v>
      </c>
      <c r="AD38" s="2375" t="s">
        <v>526</v>
      </c>
      <c r="AE38" s="2376"/>
      <c r="AF38" s="2375" t="s">
        <v>527</v>
      </c>
      <c r="AG38" s="2382"/>
      <c r="AH38" s="2376"/>
      <c r="AI38" s="2391"/>
      <c r="AJ38" s="2394"/>
      <c r="AK38" s="2240"/>
      <c r="AQ38" s="1268">
        <v>34</v>
      </c>
    </row>
    <row customHeight="1" ht="35.699999999999996">
      <c r="A39" s="1483"/>
      <c r="B39" s="1483" t="s">
        <v>167</v>
      </c>
      <c r="C39" s="1483" t="s">
        <v>168</v>
      </c>
      <c r="D39" s="1483" t="s">
        <v>169</v>
      </c>
      <c r="E39" s="1477" t="s">
        <v>528</v>
      </c>
      <c r="F39" s="1477" t="s">
        <v>529</v>
      </c>
      <c r="G39" s="1477" t="s">
        <v>530</v>
      </c>
      <c r="H39" s="1477"/>
      <c r="I39" s="1477" t="s">
        <v>580</v>
      </c>
      <c r="J39" s="1477" t="s">
        <v>533</v>
      </c>
      <c r="K39" s="1477" t="s">
        <v>581</v>
      </c>
      <c r="L39" s="1477" t="s">
        <v>509</v>
      </c>
      <c r="Q39" s="489"/>
      <c r="R39" s="489"/>
      <c r="S39" s="2386"/>
      <c r="T39" s="2322"/>
      <c r="U39" s="415"/>
      <c r="V39" s="1465" t="s">
        <v>582</v>
      </c>
      <c r="W39" s="1335" t="s">
        <v>583</v>
      </c>
      <c r="X39" s="1335" t="s">
        <v>584</v>
      </c>
      <c r="Y39" s="1470" t="s">
        <v>537</v>
      </c>
      <c r="Z39" s="2383" t="s">
        <v>538</v>
      </c>
      <c r="AA39" s="2384"/>
      <c r="AB39" s="2392"/>
      <c r="AC39" s="1465" t="s">
        <v>582</v>
      </c>
      <c r="AD39" s="1335" t="s">
        <v>583</v>
      </c>
      <c r="AE39" s="1335" t="s">
        <v>584</v>
      </c>
      <c r="AF39" s="1470" t="s">
        <v>537</v>
      </c>
      <c r="AG39" s="2383" t="s">
        <v>538</v>
      </c>
      <c r="AH39" s="2384"/>
      <c r="AI39" s="2392"/>
      <c r="AJ39" s="2395"/>
      <c r="AK39" s="2240"/>
      <c r="AQ39" s="1268">
        <v>34</v>
      </c>
    </row>
    <row s="6074"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136</v>
      </c>
      <c r="T40" s="1368" t="s">
        <v>103</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255</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155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255</v>
      </c>
      <c r="B42" s="1476" t="s">
        <v>256</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490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491</v>
      </c>
      <c r="AM42" s="613"/>
      <c r="AN42" s="613" t="str">
        <f>IF(T42="","",T42)</f>
        <v>Территория действия тарифа</v>
      </c>
      <c r="AO42" s="613"/>
      <c r="AP42" s="613"/>
      <c r="AQ42" s="1268">
        <v>23</v>
      </c>
    </row>
    <row customHeight="1" ht="24">
      <c r="A43" s="1476" t="s">
        <v>255</v>
      </c>
      <c r="B43" s="1476" t="s">
        <v>256</v>
      </c>
      <c r="C43" s="1476" t="s">
        <v>257</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571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572</v>
      </c>
      <c r="AM43" s="613"/>
      <c r="AN43" s="613" t="str">
        <f>IF(T43="","",T43)</f>
        <v>Наименование централизованной системы холодного водоснабжения</v>
      </c>
      <c r="AO43" s="613"/>
      <c r="AP43" s="613"/>
      <c r="AQ43" s="1268">
        <v>23</v>
      </c>
    </row>
    <row customHeight="1" ht="24">
      <c r="A44" s="1476" t="s">
        <v>255</v>
      </c>
      <c r="B44" s="1476" t="s">
        <v>256</v>
      </c>
      <c r="C44" s="1476" t="s">
        <v>257</v>
      </c>
      <c r="D44" s="1476" t="s">
        <v>585</v>
      </c>
      <c r="E44" s="2372"/>
      <c r="F44" s="2372"/>
      <c r="G44" s="2372"/>
      <c r="H44" s="2372"/>
      <c r="I44" s="2369" t="str">
        <f>S43&amp;".1"</f>
        <v>...1</v>
      </c>
      <c r="J44" s="1476"/>
      <c r="K44" s="1476"/>
      <c r="L44" s="1477"/>
      <c r="P44" s="2370">
        <v>1</v>
      </c>
      <c r="Q44" s="1467"/>
      <c r="R44" s="469"/>
      <c r="S44" s="1471" t="str">
        <f>$I44</f>
        <v>...1</v>
      </c>
      <c r="T44" s="398" t="s">
        <v>573</v>
      </c>
      <c r="U44" s="413"/>
      <c r="V44" s="2463"/>
      <c r="W44" s="2464"/>
      <c r="X44" s="2464"/>
      <c r="Y44" s="2464"/>
      <c r="Z44" s="2464"/>
      <c r="AA44" s="2464"/>
      <c r="AB44" s="2465"/>
      <c r="AC44" s="2466"/>
      <c r="AD44" s="2467"/>
      <c r="AE44" s="2467"/>
      <c r="AF44" s="2467"/>
      <c r="AG44" s="2467"/>
      <c r="AH44" s="2467"/>
      <c r="AI44" s="2467"/>
      <c r="AJ44" s="2468"/>
      <c r="AK44" s="1371" t="s">
        <v>574</v>
      </c>
      <c r="AM44" s="613"/>
      <c r="AN44" s="613" t="str">
        <f>IF(T44="","",T44)</f>
        <v>Наименование признака дифференциации</v>
      </c>
      <c r="AO44" s="613"/>
      <c r="AP44" s="613"/>
      <c r="AQ44" s="1268">
        <v>23</v>
      </c>
    </row>
    <row customHeight="1" ht="24">
      <c r="A45" s="1476" t="s">
        <v>255</v>
      </c>
      <c r="B45" s="1476" t="s">
        <v>256</v>
      </c>
      <c r="C45" s="1476" t="s">
        <v>257</v>
      </c>
      <c r="D45" s="1476" t="s">
        <v>585</v>
      </c>
      <c r="E45" s="2372"/>
      <c r="F45" s="2372"/>
      <c r="G45" s="2372"/>
      <c r="H45" s="2372"/>
      <c r="I45" s="2399"/>
      <c r="J45" s="2369" t="str">
        <f>I44&amp;".1"</f>
        <v>...1.1</v>
      </c>
      <c r="K45" s="1476"/>
      <c r="L45" s="1477" t="s">
        <v>499</v>
      </c>
      <c r="P45" s="2370"/>
      <c r="Q45" s="2370">
        <v>1</v>
      </c>
      <c r="R45" s="470"/>
      <c r="S45" s="1471" t="str">
        <f>$J45</f>
        <v>...1.1</v>
      </c>
      <c r="T45" s="399" t="s">
        <v>500</v>
      </c>
      <c r="U45" s="413"/>
      <c r="V45" s="2358"/>
      <c r="W45" s="2359"/>
      <c r="X45" s="2359"/>
      <c r="Y45" s="2359"/>
      <c r="Z45" s="2359"/>
      <c r="AA45" s="2359"/>
      <c r="AB45" s="2360"/>
      <c r="AC45" s="2358"/>
      <c r="AD45" s="2359"/>
      <c r="AE45" s="2359"/>
      <c r="AF45" s="2359"/>
      <c r="AG45" s="2359"/>
      <c r="AH45" s="2359"/>
      <c r="AI45" s="2359"/>
      <c r="AJ45" s="2360"/>
      <c r="AK45" s="1420" t="s">
        <v>575</v>
      </c>
      <c r="AM45" s="613"/>
      <c r="AN45" s="613" t="str">
        <f>IF(T45="","",T45)</f>
        <v>Группа потребителей</v>
      </c>
      <c r="AO45" s="613"/>
      <c r="AP45" s="613"/>
      <c r="AQ45" s="1268">
        <v>23</v>
      </c>
    </row>
    <row customHeight="1" ht="24">
      <c r="A46" s="1476" t="s">
        <v>255</v>
      </c>
      <c r="B46" s="1476" t="s">
        <v>256</v>
      </c>
      <c r="C46" s="1476" t="s">
        <v>257</v>
      </c>
      <c r="D46" s="1476" t="s">
        <v>585</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255</v>
      </c>
      <c r="B47" s="1476" t="s">
        <v>256</v>
      </c>
      <c r="C47" s="1476" t="s">
        <v>257</v>
      </c>
      <c r="D47" s="1476" t="s">
        <v>585</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255</v>
      </c>
      <c r="B48" s="1476" t="s">
        <v>256</v>
      </c>
      <c r="C48" s="1476" t="s">
        <v>257</v>
      </c>
      <c r="D48" s="1476" t="s">
        <v>585</v>
      </c>
      <c r="E48" s="2372"/>
      <c r="F48" s="2372"/>
      <c r="G48" s="2372"/>
      <c r="H48" s="2372"/>
      <c r="I48" s="2399"/>
      <c r="J48" s="2369"/>
      <c r="K48" s="1476"/>
      <c r="L48" s="1477"/>
      <c r="P48" s="2370"/>
      <c r="Q48" s="2370"/>
      <c r="R48" s="469"/>
      <c r="S48" s="1391"/>
      <c r="T48" s="400" t="s">
        <v>576</v>
      </c>
      <c r="U48" s="480"/>
      <c r="V48" s="480"/>
      <c r="W48" s="480"/>
      <c r="X48" s="480"/>
      <c r="Y48" s="480"/>
      <c r="Z48" s="480"/>
      <c r="AA48" s="480"/>
      <c r="AB48" s="480"/>
      <c r="AC48" s="480"/>
      <c r="AD48" s="480"/>
      <c r="AE48" s="480"/>
      <c r="AF48" s="480"/>
      <c r="AG48" s="480"/>
      <c r="AH48" s="480"/>
      <c r="AI48" s="480"/>
      <c r="AJ48" s="480"/>
      <c r="AK48" s="1371" t="s">
        <v>577</v>
      </c>
      <c r="AM48" s="613"/>
      <c r="AN48" s="613" t="str">
        <f>IF(T48="","",T48)</f>
        <v>Добавить значение признака дифференциации</v>
      </c>
      <c r="AO48" s="613"/>
      <c r="AP48" s="613"/>
      <c r="AQ48" s="1268">
        <v>20</v>
      </c>
    </row>
    <row customHeight="1" ht="22.049999999999997">
      <c r="A49" s="1476" t="s">
        <v>255</v>
      </c>
      <c r="B49" s="1476" t="s">
        <v>256</v>
      </c>
      <c r="C49" s="1476" t="s">
        <v>257</v>
      </c>
      <c r="D49" s="1476" t="s">
        <v>585</v>
      </c>
      <c r="E49" s="2372"/>
      <c r="F49" s="2372"/>
      <c r="G49" s="2372"/>
      <c r="H49" s="2372"/>
      <c r="I49" s="2369"/>
      <c r="J49" s="1476"/>
      <c r="K49" s="1476"/>
      <c r="L49" s="1477"/>
      <c r="P49" s="2370"/>
      <c r="Q49" s="1467"/>
      <c r="R49" s="469"/>
      <c r="S49" s="1391"/>
      <c r="T49" s="478" t="s">
        <v>505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255</v>
      </c>
      <c r="B50" s="1476" t="s">
        <v>256</v>
      </c>
      <c r="C50" s="1476" t="s">
        <v>257</v>
      </c>
      <c r="D50" s="1476" t="s">
        <v>585</v>
      </c>
      <c r="E50" s="2372"/>
      <c r="F50" s="2372"/>
      <c r="G50" s="2372"/>
      <c r="H50" s="2371"/>
      <c r="I50" s="1476"/>
      <c r="J50" s="1476"/>
      <c r="K50" s="1476"/>
      <c r="L50" s="1477"/>
      <c r="M50" s="1478"/>
      <c r="N50" s="1478"/>
      <c r="O50" s="650"/>
      <c r="P50" s="473"/>
      <c r="Q50" s="488"/>
      <c r="R50" s="468"/>
      <c r="S50" s="1391"/>
      <c r="T50" s="485" t="s">
        <v>578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8" customFormat="1" customHeight="1" ht="0">
      <c r="A51" s="1456" t="s">
        <v>255</v>
      </c>
      <c r="B51" s="1456" t="s">
        <v>256</v>
      </c>
      <c r="C51" s="1427"/>
      <c r="D51" s="1427"/>
      <c r="E51" s="2372"/>
      <c r="F51" s="2371"/>
      <c r="G51" s="1427"/>
      <c r="H51" s="1427"/>
      <c r="I51" s="1427"/>
      <c r="J51" s="1427"/>
      <c r="K51" s="1427"/>
      <c r="L51" s="1539"/>
      <c r="M51" s="1434"/>
      <c r="N51" s="1434"/>
      <c r="P51" s="1429"/>
      <c r="Q51" s="1430"/>
      <c r="R51" s="1429"/>
      <c r="S51" s="1435"/>
      <c r="T51" s="1438" t="s">
        <v>312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8" customFormat="1" customHeight="1" ht="0">
      <c r="A52" s="1456" t="s">
        <v>255</v>
      </c>
      <c r="B52" s="1456"/>
      <c r="C52" s="1456"/>
      <c r="D52" s="1456"/>
      <c r="E52" s="2371"/>
      <c r="F52" s="1456"/>
      <c r="G52" s="1456"/>
      <c r="H52" s="1456"/>
      <c r="I52" s="1456"/>
      <c r="J52" s="1456"/>
      <c r="K52" s="1456"/>
      <c r="L52" s="1459"/>
      <c r="M52" s="1434"/>
      <c r="N52" s="1434"/>
      <c r="O52" s="631"/>
      <c r="P52" s="493"/>
      <c r="Q52" s="1457"/>
      <c r="R52" s="493"/>
      <c r="S52" s="1435"/>
      <c r="T52" s="1438" t="s">
        <v>360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8"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361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872DA-1527-458A-D34F-1C3C3359499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7" width="10.57421875" hidden="1"/>
    <col min="2" max="2" style="5467" width="11.00390625" hidden="1" customWidth="1"/>
    <col min="3" max="3" style="5467" width="10.57421875" hidden="1"/>
    <col min="4" max="4" style="5467" width="11.8515625" hidden="1" customWidth="1"/>
    <col min="5" max="5" style="5467" width="10.00390625" hidden="1" customWidth="1"/>
    <col min="6" max="6" style="5467" width="8.7109375" hidden="1" customWidth="1"/>
    <col min="7" max="7" style="5467" width="7.57421875" hidden="1" customWidth="1"/>
    <col min="8" max="8" style="5467" width="11.421875" hidden="1" customWidth="1"/>
    <col min="9" max="9" style="5467" width="14.140625" hidden="1" customWidth="1"/>
    <col min="10" max="10" style="5467" width="9.8515625" hidden="1" customWidth="1"/>
    <col min="11" max="11" style="5467" width="14.7109375" hidden="1" customWidth="1"/>
    <col min="12" max="12" style="6316" width="19.140625" hidden="1" customWidth="1"/>
    <col min="13" max="14" style="6317" width="12.28125" hidden="1" customWidth="1"/>
    <col min="15" max="15" style="6317" width="23.421875" hidden="1" customWidth="1"/>
    <col min="16" max="16" style="6318" width="3.00390625" customWidth="1"/>
    <col min="17" max="18" style="6319" width="3.00390625" customWidth="1"/>
    <col min="19" max="19" style="6320" width="12.00390625" customWidth="1"/>
    <col min="20" max="20" style="5387" width="35.00390625" customWidth="1"/>
    <col min="21" max="21" style="5387" width="0.140625" customWidth="1"/>
    <col min="22" max="24" style="5387" width="24.7109375" hidden="1" customWidth="1"/>
    <col min="25" max="25" style="5387" width="11.7109375" hidden="1" customWidth="1"/>
    <col min="26" max="26" style="5387" width="3.7109375" hidden="1" customWidth="1"/>
    <col min="27" max="27" style="5387" width="11.7109375" hidden="1" customWidth="1"/>
    <col min="28" max="28" style="5387" width="8.57421875" hidden="1" customWidth="1"/>
    <col min="29" max="29" style="5387" width="24.7109375" customWidth="1"/>
    <col min="30" max="31" style="5387" width="24.00390625" customWidth="1"/>
    <col min="32" max="32" style="5387" width="11.00390625" customWidth="1"/>
    <col min="33" max="33" style="5387" width="3.7109375" customWidth="1"/>
    <col min="34" max="34" style="5387" width="11.00390625" customWidth="1"/>
    <col min="35" max="35" style="5387" width="8.57421875" hidden="1" customWidth="1"/>
    <col min="36" max="36" style="5387" width="4.00390625" customWidth="1"/>
    <col min="37" max="37" style="5387" width="115.00390625" customWidth="1"/>
    <col min="38" max="42" style="5468" width="10.00390625" customWidth="1"/>
    <col min="43" max="43" style="538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155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490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491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571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572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573</v>
      </c>
      <c r="U5" s="413"/>
      <c r="V5" s="2463"/>
      <c r="W5" s="2464"/>
      <c r="X5" s="2464"/>
      <c r="Y5" s="2464"/>
      <c r="Z5" s="2464"/>
      <c r="AA5" s="2464"/>
      <c r="AB5" s="2465"/>
      <c r="AC5" s="2466"/>
      <c r="AD5" s="2467"/>
      <c r="AE5" s="2467"/>
      <c r="AF5" s="2467"/>
      <c r="AG5" s="2467"/>
      <c r="AH5" s="2467"/>
      <c r="AI5" s="2467"/>
      <c r="AJ5" s="2468"/>
      <c r="AK5" s="1371" t="s">
        <v>574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499</v>
      </c>
      <c r="P6" s="2370"/>
      <c r="Q6" s="2370">
        <v>1</v>
      </c>
      <c r="R6" s="470"/>
      <c r="S6" s="1570">
        <f>$J6</f>
      </c>
      <c r="T6" s="399" t="s">
        <v>500</v>
      </c>
      <c r="U6" s="413"/>
      <c r="V6" s="2358"/>
      <c r="W6" s="2359"/>
      <c r="X6" s="2359"/>
      <c r="Y6" s="2359"/>
      <c r="Z6" s="2359"/>
      <c r="AA6" s="2359"/>
      <c r="AB6" s="2360"/>
      <c r="AC6" s="2358"/>
      <c r="AD6" s="2359"/>
      <c r="AE6" s="2359"/>
      <c r="AF6" s="2359"/>
      <c r="AG6" s="2359"/>
      <c r="AH6" s="2359"/>
      <c r="AI6" s="2359"/>
      <c r="AJ6" s="2360"/>
      <c r="AK6" s="1420" t="s">
        <v>575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576</v>
      </c>
      <c r="U9" s="480"/>
      <c r="V9" s="480"/>
      <c r="W9" s="480"/>
      <c r="X9" s="480"/>
      <c r="Y9" s="480"/>
      <c r="Z9" s="480"/>
      <c r="AA9" s="480"/>
      <c r="AB9" s="480"/>
      <c r="AC9" s="480"/>
      <c r="AD9" s="480"/>
      <c r="AE9" s="480"/>
      <c r="AF9" s="480"/>
      <c r="AG9" s="480"/>
      <c r="AH9" s="480"/>
      <c r="AI9" s="480"/>
      <c r="AJ9" s="480"/>
      <c r="AK9" s="1371" t="s">
        <v>577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505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578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312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360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7" customFormat="1" customHeight="1" ht="22.5" hidden="1">
      <c r="L18" s="1560"/>
      <c r="M18" s="1475"/>
      <c r="N18" s="1475"/>
      <c r="O18" s="1480" t="s">
        <v>508</v>
      </c>
      <c r="P18" s="1475"/>
      <c r="Q18" s="1484"/>
      <c r="R18" s="1484"/>
      <c r="S18" s="842"/>
      <c r="Y18" s="1480"/>
      <c r="AA18" s="1480"/>
      <c r="AB18" s="1479"/>
      <c r="AF18" s="1480"/>
      <c r="AH18" s="1480"/>
      <c r="AI18" s="1479"/>
      <c r="AL18" s="624"/>
      <c r="AM18" s="624"/>
      <c r="AN18" s="624"/>
      <c r="AO18" s="624"/>
      <c r="AP18" s="624"/>
      <c r="AQ18" s="1273">
        <v>0</v>
      </c>
    </row>
    <row s="5467" customFormat="1" customHeight="1" ht="14.25" hidden="1">
      <c r="L19" s="1560"/>
      <c r="M19" s="1475"/>
      <c r="N19" s="1475"/>
      <c r="O19" s="1475"/>
      <c r="P19" s="1475"/>
      <c r="Q19" s="1484"/>
      <c r="R19" s="1484"/>
      <c r="S19" s="842"/>
      <c r="AB19" s="1479"/>
      <c r="AI19" s="1479"/>
      <c r="AL19" s="624"/>
      <c r="AM19" s="624"/>
      <c r="AN19" s="624"/>
      <c r="AO19" s="624"/>
      <c r="AP19" s="624"/>
      <c r="AQ19" s="1273">
        <v>0</v>
      </c>
    </row>
    <row s="5467" customFormat="1" customHeight="1" ht="12" hidden="1">
      <c r="L20" s="1560"/>
      <c r="M20" s="1475"/>
      <c r="N20" s="1475"/>
      <c r="O20" s="1477" t="s">
        <v>509</v>
      </c>
      <c r="P20" s="1475"/>
      <c r="Q20" s="1555"/>
      <c r="R20" s="1555"/>
      <c r="S20" s="842"/>
      <c r="T20" s="1273" t="s">
        <v>510</v>
      </c>
      <c r="Z20" s="299" t="s">
        <v>511</v>
      </c>
      <c r="AB20" s="299" t="s">
        <v>512</v>
      </c>
      <c r="AC20" s="1273" t="s">
        <v>510</v>
      </c>
      <c r="AG20" s="299" t="s">
        <v>513</v>
      </c>
      <c r="AI20" s="299" t="s">
        <v>512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0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04" customFormat="1" customHeight="1" ht="18.75" hidden="1">
      <c r="A28" s="1481"/>
      <c r="B28" s="1481"/>
      <c r="C28" s="1481"/>
      <c r="D28" s="1481"/>
      <c r="E28" s="1481"/>
      <c r="F28" s="1481"/>
      <c r="G28" s="1481"/>
      <c r="H28" s="1481"/>
      <c r="I28" s="1481"/>
      <c r="J28" s="1481"/>
      <c r="K28" s="1481"/>
      <c r="L28" s="1482"/>
      <c r="M28" s="1481"/>
      <c r="N28" s="1481"/>
      <c r="O28" s="1481"/>
      <c r="S28" s="2363" t="s">
        <v>514</v>
      </c>
      <c r="T28" s="2363"/>
      <c r="U28" s="1485"/>
      <c r="V28" s="2377" t="str">
        <f>IF(TITLE_DATE_PR_CHANGE="",IF(TITLE_DATE_PR="","",TITLE_DATE_PR),TITLE_DATE_PR_CHANGE)</f>
        <v>45408.605891203704</v>
      </c>
      <c r="W28" s="2377"/>
      <c r="X28" s="2377"/>
      <c r="Y28" s="2377"/>
      <c r="Z28" s="2377"/>
      <c r="AA28" s="2377"/>
      <c r="AB28" s="439"/>
      <c r="AC28" s="2377" t="str">
        <f>IF(TITLE_DATE_PR_CHANGE="",IF(TITLE_DATE_PR="","",TITLE_DATE_PR),TITLE_DATE_PR_CHANGE)</f>
        <v>45408.605891203704</v>
      </c>
      <c r="AD28" s="2377"/>
      <c r="AE28" s="2377"/>
      <c r="AF28" s="2377"/>
      <c r="AG28" s="2377"/>
      <c r="AH28" s="2377"/>
      <c r="AI28" s="439"/>
      <c r="AJ28" s="439"/>
      <c r="AK28" s="393"/>
      <c r="AL28" s="481"/>
      <c r="AM28" s="481"/>
      <c r="AN28" s="481"/>
      <c r="AO28" s="481"/>
      <c r="AP28" s="481"/>
      <c r="AQ28" s="531">
        <v>0</v>
      </c>
    </row>
    <row s="5604" customFormat="1" customHeight="1" ht="18.75" hidden="1">
      <c r="A29" s="1481"/>
      <c r="B29" s="1481"/>
      <c r="C29" s="1481"/>
      <c r="D29" s="1481"/>
      <c r="E29" s="1481"/>
      <c r="F29" s="1481"/>
      <c r="G29" s="1481"/>
      <c r="H29" s="1481"/>
      <c r="I29" s="1481"/>
      <c r="J29" s="1481"/>
      <c r="K29" s="1481"/>
      <c r="L29" s="1482"/>
      <c r="M29" s="1481"/>
      <c r="N29" s="1481"/>
      <c r="O29" s="1481"/>
      <c r="S29" s="2363" t="s">
        <v>515</v>
      </c>
      <c r="T29" s="2363"/>
      <c r="U29" s="1485"/>
      <c r="V29" s="2364" t="str">
        <f>IF(TITLE_NUMBER_PR_CHANGE="",IF(TITLE_NUMBER_PR="","",TITLE_NUMBER_PR),TITLE_NUMBER_PR_CHANGE)</f>
        <v>27-2139</v>
      </c>
      <c r="W29" s="2364"/>
      <c r="X29" s="2364"/>
      <c r="Y29" s="2364"/>
      <c r="Z29" s="2364"/>
      <c r="AA29" s="2364"/>
      <c r="AB29" s="439"/>
      <c r="AC29" s="2364" t="str">
        <f>IF(TITLE_NUMBER_PR_CHANGE="",IF(TITLE_NUMBER_PR="","",TITLE_NUMBER_PR),TITLE_NUMBER_PR_CHANGE)</f>
        <v>27-2139</v>
      </c>
      <c r="AD29" s="2364"/>
      <c r="AE29" s="2364"/>
      <c r="AF29" s="2364"/>
      <c r="AG29" s="2364"/>
      <c r="AH29" s="2364"/>
      <c r="AI29" s="439"/>
      <c r="AJ29" s="439"/>
      <c r="AK29" s="393"/>
      <c r="AL29" s="481"/>
      <c r="AM29" s="481"/>
      <c r="AN29" s="481"/>
      <c r="AO29" s="481"/>
      <c r="AP29" s="481"/>
      <c r="AQ29" s="531">
        <v>0</v>
      </c>
    </row>
    <row s="560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04" customFormat="1" customHeight="1" ht="18.75">
      <c r="A32" s="1481"/>
      <c r="B32" s="1481"/>
      <c r="C32" s="1481"/>
      <c r="D32" s="1481"/>
      <c r="E32" s="1481"/>
      <c r="F32" s="1481"/>
      <c r="G32" s="1481"/>
      <c r="H32" s="1481"/>
      <c r="I32" s="1481"/>
      <c r="J32" s="1481"/>
      <c r="K32" s="1481"/>
      <c r="L32" s="1482"/>
      <c r="M32" s="1481"/>
      <c r="N32" s="1481"/>
      <c r="O32" s="1481"/>
      <c r="S32" s="2363" t="s">
        <v>516</v>
      </c>
      <c r="T32" s="2363"/>
      <c r="U32" s="1485"/>
      <c r="V32" s="2377" t="str">
        <f>IF(TITLE_DATE_PR_CHANGE="",IF(TITLE_DATE_PR="","",TITLE_DATE_PR),TITLE_DATE_PR_CHANGE)</f>
        <v>45408.605891203704</v>
      </c>
      <c r="W32" s="2377"/>
      <c r="X32" s="2377"/>
      <c r="Y32" s="2377"/>
      <c r="Z32" s="2377"/>
      <c r="AA32" s="2377"/>
      <c r="AB32" s="439"/>
      <c r="AC32" s="2377" t="str">
        <f>IF(TITLE_DATE_PR_CHANGE="",IF(TITLE_DATE_PR="","",TITLE_DATE_PR),TITLE_DATE_PR_CHANGE)</f>
        <v>45408.605891203704</v>
      </c>
      <c r="AD32" s="2377"/>
      <c r="AE32" s="2377"/>
      <c r="AF32" s="2377"/>
      <c r="AG32" s="2377"/>
      <c r="AH32" s="2377"/>
      <c r="AI32" s="439"/>
      <c r="AJ32" s="439"/>
      <c r="AK32" s="393"/>
      <c r="AL32" s="481"/>
      <c r="AM32" s="481"/>
      <c r="AN32" s="481"/>
      <c r="AO32" s="481"/>
      <c r="AP32" s="481"/>
      <c r="AQ32" s="531">
        <v>0</v>
      </c>
    </row>
    <row s="5604" customFormat="1" customHeight="1" ht="18.75">
      <c r="A33" s="1481"/>
      <c r="B33" s="1481"/>
      <c r="C33" s="1481"/>
      <c r="D33" s="1481"/>
      <c r="E33" s="1481"/>
      <c r="F33" s="1481"/>
      <c r="G33" s="1481"/>
      <c r="H33" s="1481"/>
      <c r="I33" s="1481"/>
      <c r="J33" s="1481"/>
      <c r="K33" s="1481"/>
      <c r="L33" s="1482"/>
      <c r="M33" s="1481"/>
      <c r="N33" s="1481"/>
      <c r="O33" s="1481"/>
      <c r="S33" s="2363" t="s">
        <v>517</v>
      </c>
      <c r="T33" s="2363"/>
      <c r="U33" s="1485"/>
      <c r="V33" s="2364" t="str">
        <f>IF(TITLE_NUMBER_PR_CHANGE="",IF(TITLE_NUMBER_PR="","",TITLE_NUMBER_PR),TITLE_NUMBER_PR_CHANGE)</f>
        <v>27-2139</v>
      </c>
      <c r="W33" s="2364"/>
      <c r="X33" s="2364"/>
      <c r="Y33" s="2364"/>
      <c r="Z33" s="2364"/>
      <c r="AA33" s="2364"/>
      <c r="AB33" s="439"/>
      <c r="AC33" s="2364" t="str">
        <f>IF(TITLE_NUMBER_PR_CHANGE="",IF(TITLE_NUMBER_PR="","",TITLE_NUMBER_PR),TITLE_NUMBER_PR_CHANGE)</f>
        <v>27-2139</v>
      </c>
      <c r="AD33" s="2364"/>
      <c r="AE33" s="2364"/>
      <c r="AF33" s="2364"/>
      <c r="AG33" s="2364"/>
      <c r="AH33" s="2364"/>
      <c r="AI33" s="439"/>
      <c r="AJ33" s="439"/>
      <c r="AK33" s="393"/>
      <c r="AL33" s="481"/>
      <c r="AM33" s="481"/>
      <c r="AN33" s="481"/>
      <c r="AO33" s="481"/>
      <c r="AP33" s="481"/>
      <c r="AQ33" s="531">
        <v>0</v>
      </c>
    </row>
    <row s="560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518</v>
      </c>
      <c r="AC34" s="439"/>
      <c r="AD34" s="439"/>
      <c r="AE34" s="439"/>
      <c r="AF34" s="439"/>
      <c r="AG34" s="439"/>
      <c r="AH34" s="439"/>
      <c r="AI34" s="391" t="s">
        <v>518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393</v>
      </c>
      <c r="T36" s="2240"/>
      <c r="U36" s="2240"/>
      <c r="V36" s="2240"/>
      <c r="W36" s="2240"/>
      <c r="X36" s="2240"/>
      <c r="Y36" s="2240"/>
      <c r="Z36" s="2240"/>
      <c r="AA36" s="2240"/>
      <c r="AB36" s="2240"/>
      <c r="AC36" s="2240"/>
      <c r="AD36" s="2240"/>
      <c r="AE36" s="2240"/>
      <c r="AF36" s="2240"/>
      <c r="AG36" s="2240"/>
      <c r="AH36" s="2240"/>
      <c r="AI36" s="2240"/>
      <c r="AJ36" s="2240"/>
      <c r="AK36" s="2240" t="s">
        <v>394</v>
      </c>
      <c r="AQ36" s="1268">
        <v>14</v>
      </c>
    </row>
    <row customHeight="1" ht="14.699999999999998">
      <c r="Q37" s="489"/>
      <c r="R37" s="489"/>
      <c r="S37" s="2386" t="s">
        <v>88</v>
      </c>
      <c r="T37" s="2322" t="s">
        <v>519</v>
      </c>
      <c r="U37" s="414"/>
      <c r="V37" s="2387" t="s">
        <v>520</v>
      </c>
      <c r="W37" s="2388"/>
      <c r="X37" s="2388"/>
      <c r="Y37" s="2388"/>
      <c r="Z37" s="2388"/>
      <c r="AA37" s="2389"/>
      <c r="AB37" s="2390" t="s">
        <v>521</v>
      </c>
      <c r="AC37" s="2387" t="s">
        <v>520</v>
      </c>
      <c r="AD37" s="2388"/>
      <c r="AE37" s="2388"/>
      <c r="AF37" s="2388"/>
      <c r="AG37" s="2388"/>
      <c r="AH37" s="2389"/>
      <c r="AI37" s="2390" t="s">
        <v>522</v>
      </c>
      <c r="AJ37" s="2393" t="s">
        <v>523</v>
      </c>
      <c r="AK37" s="2240"/>
      <c r="AQ37" s="1268">
        <v>14</v>
      </c>
    </row>
    <row customHeight="1" ht="35.699999999999996">
      <c r="Q38" s="489"/>
      <c r="R38" s="489"/>
      <c r="S38" s="2386"/>
      <c r="T38" s="2322"/>
      <c r="U38" s="1144"/>
      <c r="V38" s="1565" t="s">
        <v>579</v>
      </c>
      <c r="W38" s="2375" t="s">
        <v>526</v>
      </c>
      <c r="X38" s="2376"/>
      <c r="Y38" s="2375" t="s">
        <v>527</v>
      </c>
      <c r="Z38" s="2382"/>
      <c r="AA38" s="2376"/>
      <c r="AB38" s="2391"/>
      <c r="AC38" s="1565" t="s">
        <v>579</v>
      </c>
      <c r="AD38" s="2375" t="s">
        <v>526</v>
      </c>
      <c r="AE38" s="2376"/>
      <c r="AF38" s="2375" t="s">
        <v>527</v>
      </c>
      <c r="AG38" s="2382"/>
      <c r="AH38" s="2376"/>
      <c r="AI38" s="2391"/>
      <c r="AJ38" s="2394"/>
      <c r="AK38" s="2240"/>
      <c r="AQ38" s="1268">
        <v>34</v>
      </c>
    </row>
    <row customHeight="1" ht="35.699999999999996">
      <c r="A39" s="1483"/>
      <c r="B39" s="1483" t="s">
        <v>167</v>
      </c>
      <c r="C39" s="1483" t="s">
        <v>168</v>
      </c>
      <c r="D39" s="1483" t="s">
        <v>169</v>
      </c>
      <c r="E39" s="1477" t="s">
        <v>528</v>
      </c>
      <c r="F39" s="1477" t="s">
        <v>529</v>
      </c>
      <c r="G39" s="1477" t="s">
        <v>530</v>
      </c>
      <c r="H39" s="1477"/>
      <c r="I39" s="1477" t="s">
        <v>580</v>
      </c>
      <c r="J39" s="1477" t="s">
        <v>533</v>
      </c>
      <c r="K39" s="1477" t="s">
        <v>581</v>
      </c>
      <c r="L39" s="1477" t="s">
        <v>509</v>
      </c>
      <c r="Q39" s="489"/>
      <c r="R39" s="489"/>
      <c r="S39" s="2386"/>
      <c r="T39" s="2322"/>
      <c r="U39" s="415"/>
      <c r="V39" s="1565" t="s">
        <v>582</v>
      </c>
      <c r="W39" s="1335" t="s">
        <v>583</v>
      </c>
      <c r="X39" s="1335" t="s">
        <v>584</v>
      </c>
      <c r="Y39" s="1568" t="s">
        <v>537</v>
      </c>
      <c r="Z39" s="2383" t="s">
        <v>538</v>
      </c>
      <c r="AA39" s="2384"/>
      <c r="AB39" s="2392"/>
      <c r="AC39" s="1565" t="s">
        <v>582</v>
      </c>
      <c r="AD39" s="1335" t="s">
        <v>583</v>
      </c>
      <c r="AE39" s="1335" t="s">
        <v>584</v>
      </c>
      <c r="AF39" s="1568" t="s">
        <v>537</v>
      </c>
      <c r="AG39" s="2383" t="s">
        <v>538</v>
      </c>
      <c r="AH39" s="2384"/>
      <c r="AI39" s="2392"/>
      <c r="AJ39" s="2395"/>
      <c r="AK39" s="2240"/>
      <c r="AQ39" s="1268">
        <v>34</v>
      </c>
    </row>
    <row s="607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136</v>
      </c>
      <c r="T40" s="1368" t="s">
        <v>103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260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155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260</v>
      </c>
      <c r="B42" s="1476" t="s">
        <v>261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490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491</v>
      </c>
      <c r="AM42" s="613"/>
      <c r="AN42" s="613" t="str">
        <f>IF(T42="","",T42)</f>
        <v>Территория действия тарифа</v>
      </c>
      <c r="AO42" s="613"/>
      <c r="AP42" s="613"/>
      <c r="AQ42" s="1268">
        <v>23</v>
      </c>
    </row>
    <row customHeight="1" ht="24">
      <c r="A43" s="1476" t="s">
        <v>260</v>
      </c>
      <c r="B43" s="1476" t="s">
        <v>261</v>
      </c>
      <c r="C43" s="1476" t="s">
        <v>262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571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572</v>
      </c>
      <c r="AM43" s="613"/>
      <c r="AN43" s="613" t="str">
        <f>IF(T43="","",T43)</f>
        <v>Наименование централизованной системы холодного водоснабжения</v>
      </c>
      <c r="AO43" s="613"/>
      <c r="AP43" s="613"/>
      <c r="AQ43" s="1268">
        <v>23</v>
      </c>
    </row>
    <row customHeight="1" ht="24">
      <c r="A44" s="1476" t="s">
        <v>260</v>
      </c>
      <c r="B44" s="1476" t="s">
        <v>261</v>
      </c>
      <c r="C44" s="1476" t="s">
        <v>262</v>
      </c>
      <c r="D44" s="1476" t="s">
        <v>586</v>
      </c>
      <c r="E44" s="2372"/>
      <c r="F44" s="2372"/>
      <c r="G44" s="2372"/>
      <c r="H44" s="2372"/>
      <c r="I44" s="2369" t="str">
        <f>S43&amp;".1"</f>
        <v>...1</v>
      </c>
      <c r="J44" s="1476"/>
      <c r="K44" s="1476"/>
      <c r="L44" s="1477"/>
      <c r="P44" s="2370">
        <v>1</v>
      </c>
      <c r="Q44" s="1563"/>
      <c r="R44" s="469"/>
      <c r="S44" s="1570" t="str">
        <f>$I44</f>
        <v>...1</v>
      </c>
      <c r="T44" s="398" t="s">
        <v>573</v>
      </c>
      <c r="U44" s="413"/>
      <c r="V44" s="2463"/>
      <c r="W44" s="2464"/>
      <c r="X44" s="2464"/>
      <c r="Y44" s="2464"/>
      <c r="Z44" s="2464"/>
      <c r="AA44" s="2464"/>
      <c r="AB44" s="2465"/>
      <c r="AC44" s="2466"/>
      <c r="AD44" s="2467"/>
      <c r="AE44" s="2467"/>
      <c r="AF44" s="2467"/>
      <c r="AG44" s="2467"/>
      <c r="AH44" s="2467"/>
      <c r="AI44" s="2467"/>
      <c r="AJ44" s="2468"/>
      <c r="AK44" s="1371" t="s">
        <v>574</v>
      </c>
      <c r="AM44" s="613"/>
      <c r="AN44" s="613" t="str">
        <f>IF(T44="","",T44)</f>
        <v>Наименование признака дифференциации</v>
      </c>
      <c r="AO44" s="613"/>
      <c r="AP44" s="613"/>
      <c r="AQ44" s="1268">
        <v>23</v>
      </c>
    </row>
    <row customHeight="1" ht="24">
      <c r="A45" s="1476" t="s">
        <v>260</v>
      </c>
      <c r="B45" s="1476" t="s">
        <v>261</v>
      </c>
      <c r="C45" s="1476" t="s">
        <v>262</v>
      </c>
      <c r="D45" s="1476" t="s">
        <v>586</v>
      </c>
      <c r="E45" s="2372"/>
      <c r="F45" s="2372"/>
      <c r="G45" s="2372"/>
      <c r="H45" s="2372"/>
      <c r="I45" s="2399"/>
      <c r="J45" s="2369" t="str">
        <f>I44&amp;".1"</f>
        <v>...1.1</v>
      </c>
      <c r="K45" s="1476"/>
      <c r="L45" s="1477" t="s">
        <v>499</v>
      </c>
      <c r="P45" s="2370"/>
      <c r="Q45" s="2370">
        <v>1</v>
      </c>
      <c r="R45" s="470"/>
      <c r="S45" s="1570" t="str">
        <f>$J45</f>
        <v>...1.1</v>
      </c>
      <c r="T45" s="399" t="s">
        <v>500</v>
      </c>
      <c r="U45" s="413"/>
      <c r="V45" s="2358"/>
      <c r="W45" s="2359"/>
      <c r="X45" s="2359"/>
      <c r="Y45" s="2359"/>
      <c r="Z45" s="2359"/>
      <c r="AA45" s="2359"/>
      <c r="AB45" s="2360"/>
      <c r="AC45" s="2358"/>
      <c r="AD45" s="2359"/>
      <c r="AE45" s="2359"/>
      <c r="AF45" s="2359"/>
      <c r="AG45" s="2359"/>
      <c r="AH45" s="2359"/>
      <c r="AI45" s="2359"/>
      <c r="AJ45" s="2360"/>
      <c r="AK45" s="1420" t="s">
        <v>575</v>
      </c>
      <c r="AM45" s="613"/>
      <c r="AN45" s="613" t="str">
        <f>IF(T45="","",T45)</f>
        <v>Группа потребителей</v>
      </c>
      <c r="AO45" s="613"/>
      <c r="AP45" s="613"/>
      <c r="AQ45" s="1268">
        <v>23</v>
      </c>
    </row>
    <row customHeight="1" ht="24">
      <c r="A46" s="1476" t="s">
        <v>260</v>
      </c>
      <c r="B46" s="1476" t="s">
        <v>261</v>
      </c>
      <c r="C46" s="1476" t="s">
        <v>262</v>
      </c>
      <c r="D46" s="1476" t="s">
        <v>586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260</v>
      </c>
      <c r="B47" s="1476" t="s">
        <v>261</v>
      </c>
      <c r="C47" s="1476" t="s">
        <v>262</v>
      </c>
      <c r="D47" s="1476" t="s">
        <v>586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260</v>
      </c>
      <c r="B48" s="1476" t="s">
        <v>261</v>
      </c>
      <c r="C48" s="1476" t="s">
        <v>262</v>
      </c>
      <c r="D48" s="1476" t="s">
        <v>586</v>
      </c>
      <c r="E48" s="2372"/>
      <c r="F48" s="2372"/>
      <c r="G48" s="2372"/>
      <c r="H48" s="2372"/>
      <c r="I48" s="2399"/>
      <c r="J48" s="2369"/>
      <c r="K48" s="1476"/>
      <c r="L48" s="1477"/>
      <c r="P48" s="2370"/>
      <c r="Q48" s="2370"/>
      <c r="R48" s="469"/>
      <c r="S48" s="1391"/>
      <c r="T48" s="400" t="s">
        <v>576</v>
      </c>
      <c r="U48" s="480"/>
      <c r="V48" s="480"/>
      <c r="W48" s="480"/>
      <c r="X48" s="480"/>
      <c r="Y48" s="480"/>
      <c r="Z48" s="480"/>
      <c r="AA48" s="480"/>
      <c r="AB48" s="480"/>
      <c r="AC48" s="480"/>
      <c r="AD48" s="480"/>
      <c r="AE48" s="480"/>
      <c r="AF48" s="480"/>
      <c r="AG48" s="480"/>
      <c r="AH48" s="480"/>
      <c r="AI48" s="480"/>
      <c r="AJ48" s="480"/>
      <c r="AK48" s="1371" t="s">
        <v>577</v>
      </c>
      <c r="AM48" s="613"/>
      <c r="AN48" s="613" t="str">
        <f>IF(T48="","",T48)</f>
        <v>Добавить значение признака дифференциации</v>
      </c>
      <c r="AO48" s="613"/>
      <c r="AP48" s="613"/>
      <c r="AQ48" s="1268">
        <v>20</v>
      </c>
    </row>
    <row customHeight="1" ht="22.049999999999997">
      <c r="A49" s="1476" t="s">
        <v>260</v>
      </c>
      <c r="B49" s="1476" t="s">
        <v>261</v>
      </c>
      <c r="C49" s="1476" t="s">
        <v>262</v>
      </c>
      <c r="D49" s="1476" t="s">
        <v>586</v>
      </c>
      <c r="E49" s="2372"/>
      <c r="F49" s="2372"/>
      <c r="G49" s="2372"/>
      <c r="H49" s="2372"/>
      <c r="I49" s="2369"/>
      <c r="J49" s="1476"/>
      <c r="K49" s="1476"/>
      <c r="L49" s="1477"/>
      <c r="P49" s="2370"/>
      <c r="Q49" s="1563"/>
      <c r="R49" s="469"/>
      <c r="S49" s="1391"/>
      <c r="T49" s="478" t="s">
        <v>505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260</v>
      </c>
      <c r="B50" s="1476" t="s">
        <v>261</v>
      </c>
      <c r="C50" s="1476" t="s">
        <v>262</v>
      </c>
      <c r="D50" s="1476" t="s">
        <v>586</v>
      </c>
      <c r="E50" s="2372"/>
      <c r="F50" s="2372"/>
      <c r="G50" s="2372"/>
      <c r="H50" s="2371"/>
      <c r="I50" s="1476"/>
      <c r="J50" s="1476"/>
      <c r="K50" s="1476"/>
      <c r="L50" s="1477"/>
      <c r="M50" s="1478"/>
      <c r="N50" s="1478"/>
      <c r="O50" s="650"/>
      <c r="P50" s="473"/>
      <c r="Q50" s="488"/>
      <c r="R50" s="468"/>
      <c r="S50" s="1391"/>
      <c r="T50" s="485" t="s">
        <v>578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8" customFormat="1" customHeight="1" ht="0">
      <c r="A51" s="1456" t="s">
        <v>260</v>
      </c>
      <c r="B51" s="1456" t="s">
        <v>261</v>
      </c>
      <c r="C51" s="1427"/>
      <c r="D51" s="1427"/>
      <c r="E51" s="2372"/>
      <c r="F51" s="2371"/>
      <c r="G51" s="1427"/>
      <c r="H51" s="1427"/>
      <c r="I51" s="1427"/>
      <c r="J51" s="1427"/>
      <c r="K51" s="1427"/>
      <c r="L51" s="1571"/>
      <c r="M51" s="1434"/>
      <c r="N51" s="1434"/>
      <c r="P51" s="1429"/>
      <c r="Q51" s="1430"/>
      <c r="R51" s="1429"/>
      <c r="S51" s="1435"/>
      <c r="T51" s="1438" t="s">
        <v>312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8" customFormat="1" customHeight="1" ht="0">
      <c r="A52" s="1456" t="s">
        <v>260</v>
      </c>
      <c r="B52" s="1456"/>
      <c r="C52" s="1456"/>
      <c r="D52" s="1456"/>
      <c r="E52" s="2371"/>
      <c r="F52" s="1456"/>
      <c r="G52" s="1456"/>
      <c r="H52" s="1456"/>
      <c r="I52" s="1456"/>
      <c r="J52" s="1456"/>
      <c r="K52" s="1456"/>
      <c r="L52" s="1459"/>
      <c r="M52" s="1434"/>
      <c r="N52" s="1434"/>
      <c r="O52" s="631"/>
      <c r="P52" s="493"/>
      <c r="Q52" s="1457"/>
      <c r="R52" s="493"/>
      <c r="S52" s="1435"/>
      <c r="T52" s="1438" t="s">
        <v>360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361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8CAFF-96E5-7413-E16C-96D985E104F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7" width="10.57421875" hidden="1"/>
    <col min="2" max="2" style="5467" width="11.00390625" hidden="1" customWidth="1"/>
    <col min="3" max="3" style="5467" width="10.57421875" hidden="1"/>
    <col min="4" max="4" style="5467" width="11.8515625" hidden="1" customWidth="1"/>
    <col min="5" max="5" style="5467" width="10.00390625" hidden="1" customWidth="1"/>
    <col min="6" max="6" style="5467" width="8.7109375" hidden="1" customWidth="1"/>
    <col min="7" max="7" style="5467" width="7.57421875" hidden="1" customWidth="1"/>
    <col min="8" max="8" style="5467" width="11.421875" hidden="1" customWidth="1"/>
    <col min="9" max="9" style="5467" width="14.140625" hidden="1" customWidth="1"/>
    <col min="10" max="10" style="5467" width="9.8515625" hidden="1" customWidth="1"/>
    <col min="11" max="11" style="5467" width="14.7109375" hidden="1" customWidth="1"/>
    <col min="12" max="12" style="6316" width="19.140625" hidden="1" customWidth="1"/>
    <col min="13" max="14" style="6317" width="12.28125" hidden="1" customWidth="1"/>
    <col min="15" max="15" style="6317" width="23.421875" hidden="1" customWidth="1"/>
    <col min="16" max="16" style="6318" width="3.00390625" customWidth="1"/>
    <col min="17" max="18" style="6319" width="3.00390625" customWidth="1"/>
    <col min="19" max="19" style="6320" width="12.00390625" customWidth="1"/>
    <col min="20" max="20" style="5387" width="35.00390625" customWidth="1"/>
    <col min="21" max="21" style="5387" width="0.140625" customWidth="1"/>
    <col min="22" max="24" style="5387" width="24.7109375" hidden="1" customWidth="1"/>
    <col min="25" max="25" style="5387" width="11.7109375" hidden="1" customWidth="1"/>
    <col min="26" max="26" style="5387" width="3.7109375" hidden="1" customWidth="1"/>
    <col min="27" max="27" style="5387" width="11.7109375" hidden="1" customWidth="1"/>
    <col min="28" max="28" style="5387" width="8.57421875" hidden="1" customWidth="1"/>
    <col min="29" max="29" style="5387" width="24.7109375" customWidth="1"/>
    <col min="30" max="31" style="5387" width="24.00390625" customWidth="1"/>
    <col min="32" max="32" style="5387" width="11.00390625" customWidth="1"/>
    <col min="33" max="33" style="5387" width="3.7109375" customWidth="1"/>
    <col min="34" max="34" style="5387" width="11.00390625" customWidth="1"/>
    <col min="35" max="35" style="5387" width="8.57421875" hidden="1" customWidth="1"/>
    <col min="36" max="36" style="5387" width="4.00390625" customWidth="1"/>
    <col min="37" max="37" style="5387" width="115.00390625" customWidth="1"/>
    <col min="38" max="42" style="5468" width="10.00390625" customWidth="1"/>
    <col min="43" max="43" style="538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155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490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491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571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572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573</v>
      </c>
      <c r="U5" s="413"/>
      <c r="V5" s="2463"/>
      <c r="W5" s="2464"/>
      <c r="X5" s="2464"/>
      <c r="Y5" s="2464"/>
      <c r="Z5" s="2464"/>
      <c r="AA5" s="2464"/>
      <c r="AB5" s="2465"/>
      <c r="AC5" s="2466"/>
      <c r="AD5" s="2467"/>
      <c r="AE5" s="2467"/>
      <c r="AF5" s="2467"/>
      <c r="AG5" s="2467"/>
      <c r="AH5" s="2467"/>
      <c r="AI5" s="2467"/>
      <c r="AJ5" s="2468"/>
      <c r="AK5" s="1371" t="s">
        <v>574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499</v>
      </c>
      <c r="P6" s="2370"/>
      <c r="Q6" s="2370">
        <v>1</v>
      </c>
      <c r="R6" s="470"/>
      <c r="S6" s="1570">
        <f>$J6</f>
      </c>
      <c r="T6" s="399" t="s">
        <v>500</v>
      </c>
      <c r="U6" s="413"/>
      <c r="V6" s="2358"/>
      <c r="W6" s="2359"/>
      <c r="X6" s="2359"/>
      <c r="Y6" s="2359"/>
      <c r="Z6" s="2359"/>
      <c r="AA6" s="2359"/>
      <c r="AB6" s="2360"/>
      <c r="AC6" s="2358"/>
      <c r="AD6" s="2359"/>
      <c r="AE6" s="2359"/>
      <c r="AF6" s="2359"/>
      <c r="AG6" s="2359"/>
      <c r="AH6" s="2359"/>
      <c r="AI6" s="2359"/>
      <c r="AJ6" s="2360"/>
      <c r="AK6" s="1420" t="s">
        <v>575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576</v>
      </c>
      <c r="U9" s="480"/>
      <c r="V9" s="480"/>
      <c r="W9" s="480"/>
      <c r="X9" s="480"/>
      <c r="Y9" s="480"/>
      <c r="Z9" s="480"/>
      <c r="AA9" s="480"/>
      <c r="AB9" s="480"/>
      <c r="AC9" s="480"/>
      <c r="AD9" s="480"/>
      <c r="AE9" s="480"/>
      <c r="AF9" s="480"/>
      <c r="AG9" s="480"/>
      <c r="AH9" s="480"/>
      <c r="AI9" s="480"/>
      <c r="AJ9" s="480"/>
      <c r="AK9" s="1371" t="s">
        <v>577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505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578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312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360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7" customFormat="1" customHeight="1" ht="22.5" hidden="1">
      <c r="L18" s="1560"/>
      <c r="M18" s="1475"/>
      <c r="N18" s="1475"/>
      <c r="O18" s="1480" t="s">
        <v>508</v>
      </c>
      <c r="P18" s="1475"/>
      <c r="Q18" s="1484"/>
      <c r="R18" s="1484"/>
      <c r="S18" s="842"/>
      <c r="Y18" s="1480"/>
      <c r="AA18" s="1480"/>
      <c r="AB18" s="1479"/>
      <c r="AF18" s="1480"/>
      <c r="AH18" s="1480"/>
      <c r="AI18" s="1479"/>
      <c r="AL18" s="624"/>
      <c r="AM18" s="624"/>
      <c r="AN18" s="624"/>
      <c r="AO18" s="624"/>
      <c r="AP18" s="624"/>
      <c r="AQ18" s="1273">
        <v>0</v>
      </c>
    </row>
    <row s="5467" customFormat="1" customHeight="1" ht="14.25" hidden="1">
      <c r="L19" s="1560"/>
      <c r="M19" s="1475"/>
      <c r="N19" s="1475"/>
      <c r="O19" s="1475"/>
      <c r="P19" s="1475"/>
      <c r="Q19" s="1484"/>
      <c r="R19" s="1484"/>
      <c r="S19" s="842"/>
      <c r="AB19" s="1479"/>
      <c r="AI19" s="1479"/>
      <c r="AL19" s="624"/>
      <c r="AM19" s="624"/>
      <c r="AN19" s="624"/>
      <c r="AO19" s="624"/>
      <c r="AP19" s="624"/>
      <c r="AQ19" s="1273">
        <v>0</v>
      </c>
    </row>
    <row s="5467" customFormat="1" customHeight="1" ht="12" hidden="1">
      <c r="L20" s="1560"/>
      <c r="M20" s="1475"/>
      <c r="N20" s="1475"/>
      <c r="O20" s="1477" t="s">
        <v>509</v>
      </c>
      <c r="P20" s="1475"/>
      <c r="Q20" s="1555"/>
      <c r="R20" s="1555"/>
      <c r="S20" s="842"/>
      <c r="T20" s="1273" t="s">
        <v>510</v>
      </c>
      <c r="Z20" s="299" t="s">
        <v>511</v>
      </c>
      <c r="AB20" s="299" t="s">
        <v>512</v>
      </c>
      <c r="AC20" s="1273" t="s">
        <v>510</v>
      </c>
      <c r="AG20" s="299" t="s">
        <v>513</v>
      </c>
      <c r="AI20" s="299" t="s">
        <v>512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0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04" customFormat="1" customHeight="1" ht="18.75" hidden="1">
      <c r="A28" s="1481"/>
      <c r="B28" s="1481"/>
      <c r="C28" s="1481"/>
      <c r="D28" s="1481"/>
      <c r="E28" s="1481"/>
      <c r="F28" s="1481"/>
      <c r="G28" s="1481"/>
      <c r="H28" s="1481"/>
      <c r="I28" s="1481"/>
      <c r="J28" s="1481"/>
      <c r="K28" s="1481"/>
      <c r="L28" s="1482"/>
      <c r="M28" s="1481"/>
      <c r="N28" s="1481"/>
      <c r="O28" s="1481"/>
      <c r="S28" s="2363" t="s">
        <v>514</v>
      </c>
      <c r="T28" s="2363"/>
      <c r="U28" s="1485"/>
      <c r="V28" s="2377" t="str">
        <f>IF(TITLE_DATE_PR_CHANGE="",IF(TITLE_DATE_PR="","",TITLE_DATE_PR),TITLE_DATE_PR_CHANGE)</f>
        <v>45408.605891203704</v>
      </c>
      <c r="W28" s="2377"/>
      <c r="X28" s="2377"/>
      <c r="Y28" s="2377"/>
      <c r="Z28" s="2377"/>
      <c r="AA28" s="2377"/>
      <c r="AB28" s="439"/>
      <c r="AC28" s="2377" t="str">
        <f>IF(TITLE_DATE_PR_CHANGE="",IF(TITLE_DATE_PR="","",TITLE_DATE_PR),TITLE_DATE_PR_CHANGE)</f>
        <v>45408.605891203704</v>
      </c>
      <c r="AD28" s="2377"/>
      <c r="AE28" s="2377"/>
      <c r="AF28" s="2377"/>
      <c r="AG28" s="2377"/>
      <c r="AH28" s="2377"/>
      <c r="AI28" s="439"/>
      <c r="AJ28" s="439"/>
      <c r="AK28" s="393"/>
      <c r="AL28" s="481"/>
      <c r="AM28" s="481"/>
      <c r="AN28" s="481"/>
      <c r="AO28" s="481"/>
      <c r="AP28" s="481"/>
      <c r="AQ28" s="531">
        <v>0</v>
      </c>
    </row>
    <row s="5604" customFormat="1" customHeight="1" ht="18.75" hidden="1">
      <c r="A29" s="1481"/>
      <c r="B29" s="1481"/>
      <c r="C29" s="1481"/>
      <c r="D29" s="1481"/>
      <c r="E29" s="1481"/>
      <c r="F29" s="1481"/>
      <c r="G29" s="1481"/>
      <c r="H29" s="1481"/>
      <c r="I29" s="1481"/>
      <c r="J29" s="1481"/>
      <c r="K29" s="1481"/>
      <c r="L29" s="1482"/>
      <c r="M29" s="1481"/>
      <c r="N29" s="1481"/>
      <c r="O29" s="1481"/>
      <c r="S29" s="2363" t="s">
        <v>515</v>
      </c>
      <c r="T29" s="2363"/>
      <c r="U29" s="1485"/>
      <c r="V29" s="2364" t="str">
        <f>IF(TITLE_NUMBER_PR_CHANGE="",IF(TITLE_NUMBER_PR="","",TITLE_NUMBER_PR),TITLE_NUMBER_PR_CHANGE)</f>
        <v>27-2139</v>
      </c>
      <c r="W29" s="2364"/>
      <c r="X29" s="2364"/>
      <c r="Y29" s="2364"/>
      <c r="Z29" s="2364"/>
      <c r="AA29" s="2364"/>
      <c r="AB29" s="439"/>
      <c r="AC29" s="2364" t="str">
        <f>IF(TITLE_NUMBER_PR_CHANGE="",IF(TITLE_NUMBER_PR="","",TITLE_NUMBER_PR),TITLE_NUMBER_PR_CHANGE)</f>
        <v>27-2139</v>
      </c>
      <c r="AD29" s="2364"/>
      <c r="AE29" s="2364"/>
      <c r="AF29" s="2364"/>
      <c r="AG29" s="2364"/>
      <c r="AH29" s="2364"/>
      <c r="AI29" s="439"/>
      <c r="AJ29" s="439"/>
      <c r="AK29" s="393"/>
      <c r="AL29" s="481"/>
      <c r="AM29" s="481"/>
      <c r="AN29" s="481"/>
      <c r="AO29" s="481"/>
      <c r="AP29" s="481"/>
      <c r="AQ29" s="531">
        <v>0</v>
      </c>
    </row>
    <row s="560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04" customFormat="1" customHeight="1" ht="18.75">
      <c r="A32" s="1481"/>
      <c r="B32" s="1481"/>
      <c r="C32" s="1481"/>
      <c r="D32" s="1481"/>
      <c r="E32" s="1481"/>
      <c r="F32" s="1481"/>
      <c r="G32" s="1481"/>
      <c r="H32" s="1481"/>
      <c r="I32" s="1481"/>
      <c r="J32" s="1481"/>
      <c r="K32" s="1481"/>
      <c r="L32" s="1482"/>
      <c r="M32" s="1481"/>
      <c r="N32" s="1481"/>
      <c r="O32" s="1481"/>
      <c r="S32" s="2363" t="s">
        <v>516</v>
      </c>
      <c r="T32" s="2363"/>
      <c r="U32" s="1485"/>
      <c r="V32" s="2377" t="str">
        <f>IF(TITLE_DATE_PR_CHANGE="",IF(TITLE_DATE_PR="","",TITLE_DATE_PR),TITLE_DATE_PR_CHANGE)</f>
        <v>45408.605891203704</v>
      </c>
      <c r="W32" s="2377"/>
      <c r="X32" s="2377"/>
      <c r="Y32" s="2377"/>
      <c r="Z32" s="2377"/>
      <c r="AA32" s="2377"/>
      <c r="AB32" s="439"/>
      <c r="AC32" s="2377" t="str">
        <f>IF(TITLE_DATE_PR_CHANGE="",IF(TITLE_DATE_PR="","",TITLE_DATE_PR),TITLE_DATE_PR_CHANGE)</f>
        <v>45408.605891203704</v>
      </c>
      <c r="AD32" s="2377"/>
      <c r="AE32" s="2377"/>
      <c r="AF32" s="2377"/>
      <c r="AG32" s="2377"/>
      <c r="AH32" s="2377"/>
      <c r="AI32" s="439"/>
      <c r="AJ32" s="439"/>
      <c r="AK32" s="393"/>
      <c r="AL32" s="481"/>
      <c r="AM32" s="481"/>
      <c r="AN32" s="481"/>
      <c r="AO32" s="481"/>
      <c r="AP32" s="481"/>
      <c r="AQ32" s="531">
        <v>0</v>
      </c>
    </row>
    <row s="5604" customFormat="1" customHeight="1" ht="18.75">
      <c r="A33" s="1481"/>
      <c r="B33" s="1481"/>
      <c r="C33" s="1481"/>
      <c r="D33" s="1481"/>
      <c r="E33" s="1481"/>
      <c r="F33" s="1481"/>
      <c r="G33" s="1481"/>
      <c r="H33" s="1481"/>
      <c r="I33" s="1481"/>
      <c r="J33" s="1481"/>
      <c r="K33" s="1481"/>
      <c r="L33" s="1482"/>
      <c r="M33" s="1481"/>
      <c r="N33" s="1481"/>
      <c r="O33" s="1481"/>
      <c r="S33" s="2363" t="s">
        <v>517</v>
      </c>
      <c r="T33" s="2363"/>
      <c r="U33" s="1485"/>
      <c r="V33" s="2364" t="str">
        <f>IF(TITLE_NUMBER_PR_CHANGE="",IF(TITLE_NUMBER_PR="","",TITLE_NUMBER_PR),TITLE_NUMBER_PR_CHANGE)</f>
        <v>27-2139</v>
      </c>
      <c r="W33" s="2364"/>
      <c r="X33" s="2364"/>
      <c r="Y33" s="2364"/>
      <c r="Z33" s="2364"/>
      <c r="AA33" s="2364"/>
      <c r="AB33" s="439"/>
      <c r="AC33" s="2364" t="str">
        <f>IF(TITLE_NUMBER_PR_CHANGE="",IF(TITLE_NUMBER_PR="","",TITLE_NUMBER_PR),TITLE_NUMBER_PR_CHANGE)</f>
        <v>27-2139</v>
      </c>
      <c r="AD33" s="2364"/>
      <c r="AE33" s="2364"/>
      <c r="AF33" s="2364"/>
      <c r="AG33" s="2364"/>
      <c r="AH33" s="2364"/>
      <c r="AI33" s="439"/>
      <c r="AJ33" s="439"/>
      <c r="AK33" s="393"/>
      <c r="AL33" s="481"/>
      <c r="AM33" s="481"/>
      <c r="AN33" s="481"/>
      <c r="AO33" s="481"/>
      <c r="AP33" s="481"/>
      <c r="AQ33" s="531">
        <v>0</v>
      </c>
    </row>
    <row s="560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518</v>
      </c>
      <c r="AC34" s="439"/>
      <c r="AD34" s="439"/>
      <c r="AE34" s="439"/>
      <c r="AF34" s="439"/>
      <c r="AG34" s="439"/>
      <c r="AH34" s="439"/>
      <c r="AI34" s="391" t="s">
        <v>518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393</v>
      </c>
      <c r="T36" s="2240"/>
      <c r="U36" s="2240"/>
      <c r="V36" s="2240"/>
      <c r="W36" s="2240"/>
      <c r="X36" s="2240"/>
      <c r="Y36" s="2240"/>
      <c r="Z36" s="2240"/>
      <c r="AA36" s="2240"/>
      <c r="AB36" s="2240"/>
      <c r="AC36" s="2240"/>
      <c r="AD36" s="2240"/>
      <c r="AE36" s="2240"/>
      <c r="AF36" s="2240"/>
      <c r="AG36" s="2240"/>
      <c r="AH36" s="2240"/>
      <c r="AI36" s="2240"/>
      <c r="AJ36" s="2240"/>
      <c r="AK36" s="2240" t="s">
        <v>394</v>
      </c>
      <c r="AQ36" s="1268">
        <v>14</v>
      </c>
    </row>
    <row customHeight="1" ht="14.699999999999998">
      <c r="Q37" s="489"/>
      <c r="R37" s="489"/>
      <c r="S37" s="2386" t="s">
        <v>88</v>
      </c>
      <c r="T37" s="2322" t="s">
        <v>519</v>
      </c>
      <c r="U37" s="414"/>
      <c r="V37" s="2387" t="s">
        <v>520</v>
      </c>
      <c r="W37" s="2388"/>
      <c r="X37" s="2388"/>
      <c r="Y37" s="2388"/>
      <c r="Z37" s="2388"/>
      <c r="AA37" s="2389"/>
      <c r="AB37" s="2390" t="s">
        <v>521</v>
      </c>
      <c r="AC37" s="2387" t="s">
        <v>520</v>
      </c>
      <c r="AD37" s="2388"/>
      <c r="AE37" s="2388"/>
      <c r="AF37" s="2388"/>
      <c r="AG37" s="2388"/>
      <c r="AH37" s="2389"/>
      <c r="AI37" s="2390" t="s">
        <v>522</v>
      </c>
      <c r="AJ37" s="2393" t="s">
        <v>523</v>
      </c>
      <c r="AK37" s="2240"/>
      <c r="AQ37" s="1268">
        <v>14</v>
      </c>
    </row>
    <row customHeight="1" ht="35.699999999999996">
      <c r="Q38" s="489"/>
      <c r="R38" s="489"/>
      <c r="S38" s="2386"/>
      <c r="T38" s="2322"/>
      <c r="U38" s="1144"/>
      <c r="V38" s="1565" t="s">
        <v>579</v>
      </c>
      <c r="W38" s="2375" t="s">
        <v>526</v>
      </c>
      <c r="X38" s="2376"/>
      <c r="Y38" s="2375" t="s">
        <v>527</v>
      </c>
      <c r="Z38" s="2382"/>
      <c r="AA38" s="2376"/>
      <c r="AB38" s="2391"/>
      <c r="AC38" s="1565" t="s">
        <v>579</v>
      </c>
      <c r="AD38" s="2375" t="s">
        <v>526</v>
      </c>
      <c r="AE38" s="2376"/>
      <c r="AF38" s="2375" t="s">
        <v>527</v>
      </c>
      <c r="AG38" s="2382"/>
      <c r="AH38" s="2376"/>
      <c r="AI38" s="2391"/>
      <c r="AJ38" s="2394"/>
      <c r="AK38" s="2240"/>
      <c r="AQ38" s="1268">
        <v>34</v>
      </c>
    </row>
    <row customHeight="1" ht="35.699999999999996">
      <c r="A39" s="1483"/>
      <c r="B39" s="1483" t="s">
        <v>167</v>
      </c>
      <c r="C39" s="1483" t="s">
        <v>168</v>
      </c>
      <c r="D39" s="1483" t="s">
        <v>169</v>
      </c>
      <c r="E39" s="1477" t="s">
        <v>528</v>
      </c>
      <c r="F39" s="1477" t="s">
        <v>529</v>
      </c>
      <c r="G39" s="1477" t="s">
        <v>530</v>
      </c>
      <c r="H39" s="1477"/>
      <c r="I39" s="1477" t="s">
        <v>580</v>
      </c>
      <c r="J39" s="1477" t="s">
        <v>533</v>
      </c>
      <c r="K39" s="1477" t="s">
        <v>581</v>
      </c>
      <c r="L39" s="1477" t="s">
        <v>509</v>
      </c>
      <c r="Q39" s="489"/>
      <c r="R39" s="489"/>
      <c r="S39" s="2386"/>
      <c r="T39" s="2322"/>
      <c r="U39" s="415"/>
      <c r="V39" s="1565" t="s">
        <v>582</v>
      </c>
      <c r="W39" s="1335" t="s">
        <v>583</v>
      </c>
      <c r="X39" s="1335" t="s">
        <v>584</v>
      </c>
      <c r="Y39" s="1568" t="s">
        <v>537</v>
      </c>
      <c r="Z39" s="2383" t="s">
        <v>538</v>
      </c>
      <c r="AA39" s="2384"/>
      <c r="AB39" s="2392"/>
      <c r="AC39" s="1565" t="s">
        <v>582</v>
      </c>
      <c r="AD39" s="1335" t="s">
        <v>583</v>
      </c>
      <c r="AE39" s="1335" t="s">
        <v>584</v>
      </c>
      <c r="AF39" s="1568" t="s">
        <v>537</v>
      </c>
      <c r="AG39" s="2383" t="s">
        <v>538</v>
      </c>
      <c r="AH39" s="2384"/>
      <c r="AI39" s="2392"/>
      <c r="AJ39" s="2395"/>
      <c r="AK39" s="2240"/>
      <c r="AQ39" s="1268">
        <v>34</v>
      </c>
    </row>
    <row s="607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136</v>
      </c>
      <c r="T40" s="1368" t="s">
        <v>103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265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155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265</v>
      </c>
      <c r="B42" s="1476" t="s">
        <v>266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490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491</v>
      </c>
      <c r="AM42" s="613"/>
      <c r="AN42" s="613" t="str">
        <f>IF(T42="","",T42)</f>
        <v>Территория действия тарифа</v>
      </c>
      <c r="AO42" s="613"/>
      <c r="AP42" s="613"/>
      <c r="AQ42" s="1268">
        <v>23</v>
      </c>
    </row>
    <row customHeight="1" ht="24">
      <c r="A43" s="1476" t="s">
        <v>265</v>
      </c>
      <c r="B43" s="1476" t="s">
        <v>266</v>
      </c>
      <c r="C43" s="1476" t="s">
        <v>267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571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572</v>
      </c>
      <c r="AM43" s="613"/>
      <c r="AN43" s="613" t="str">
        <f>IF(T43="","",T43)</f>
        <v>Наименование централизованной системы холодного водоснабжения</v>
      </c>
      <c r="AO43" s="613"/>
      <c r="AP43" s="613"/>
      <c r="AQ43" s="1268">
        <v>23</v>
      </c>
    </row>
    <row customHeight="1" ht="24">
      <c r="A44" s="1476" t="s">
        <v>265</v>
      </c>
      <c r="B44" s="1476" t="s">
        <v>266</v>
      </c>
      <c r="C44" s="1476" t="s">
        <v>267</v>
      </c>
      <c r="D44" s="1476" t="s">
        <v>587</v>
      </c>
      <c r="E44" s="2372"/>
      <c r="F44" s="2372"/>
      <c r="G44" s="2372"/>
      <c r="H44" s="2372"/>
      <c r="I44" s="2369" t="str">
        <f>S43&amp;".1"</f>
        <v>...1</v>
      </c>
      <c r="J44" s="1476"/>
      <c r="K44" s="1476"/>
      <c r="L44" s="1477"/>
      <c r="P44" s="2370">
        <v>1</v>
      </c>
      <c r="Q44" s="1563"/>
      <c r="R44" s="469"/>
      <c r="S44" s="1570" t="str">
        <f>$I44</f>
        <v>...1</v>
      </c>
      <c r="T44" s="398" t="s">
        <v>573</v>
      </c>
      <c r="U44" s="413"/>
      <c r="V44" s="2463"/>
      <c r="W44" s="2464"/>
      <c r="X44" s="2464"/>
      <c r="Y44" s="2464"/>
      <c r="Z44" s="2464"/>
      <c r="AA44" s="2464"/>
      <c r="AB44" s="2465"/>
      <c r="AC44" s="2466"/>
      <c r="AD44" s="2467"/>
      <c r="AE44" s="2467"/>
      <c r="AF44" s="2467"/>
      <c r="AG44" s="2467"/>
      <c r="AH44" s="2467"/>
      <c r="AI44" s="2467"/>
      <c r="AJ44" s="2468"/>
      <c r="AK44" s="1371" t="s">
        <v>574</v>
      </c>
      <c r="AM44" s="613"/>
      <c r="AN44" s="613" t="str">
        <f>IF(T44="","",T44)</f>
        <v>Наименование признака дифференциации</v>
      </c>
      <c r="AO44" s="613"/>
      <c r="AP44" s="613"/>
      <c r="AQ44" s="1268">
        <v>23</v>
      </c>
    </row>
    <row customHeight="1" ht="24">
      <c r="A45" s="1476" t="s">
        <v>265</v>
      </c>
      <c r="B45" s="1476" t="s">
        <v>266</v>
      </c>
      <c r="C45" s="1476" t="s">
        <v>267</v>
      </c>
      <c r="D45" s="1476" t="s">
        <v>587</v>
      </c>
      <c r="E45" s="2372"/>
      <c r="F45" s="2372"/>
      <c r="G45" s="2372"/>
      <c r="H45" s="2372"/>
      <c r="I45" s="2399"/>
      <c r="J45" s="2369" t="str">
        <f>I44&amp;".1"</f>
        <v>...1.1</v>
      </c>
      <c r="K45" s="1476"/>
      <c r="L45" s="1477" t="s">
        <v>499</v>
      </c>
      <c r="P45" s="2370"/>
      <c r="Q45" s="2370">
        <v>1</v>
      </c>
      <c r="R45" s="470"/>
      <c r="S45" s="1570" t="str">
        <f>$J45</f>
        <v>...1.1</v>
      </c>
      <c r="T45" s="399" t="s">
        <v>500</v>
      </c>
      <c r="U45" s="413"/>
      <c r="V45" s="2358"/>
      <c r="W45" s="2359"/>
      <c r="X45" s="2359"/>
      <c r="Y45" s="2359"/>
      <c r="Z45" s="2359"/>
      <c r="AA45" s="2359"/>
      <c r="AB45" s="2360"/>
      <c r="AC45" s="2358"/>
      <c r="AD45" s="2359"/>
      <c r="AE45" s="2359"/>
      <c r="AF45" s="2359"/>
      <c r="AG45" s="2359"/>
      <c r="AH45" s="2359"/>
      <c r="AI45" s="2359"/>
      <c r="AJ45" s="2360"/>
      <c r="AK45" s="1420" t="s">
        <v>575</v>
      </c>
      <c r="AM45" s="613"/>
      <c r="AN45" s="613" t="str">
        <f>IF(T45="","",T45)</f>
        <v>Группа потребителей</v>
      </c>
      <c r="AO45" s="613"/>
      <c r="AP45" s="613"/>
      <c r="AQ45" s="1268">
        <v>23</v>
      </c>
    </row>
    <row customHeight="1" ht="24">
      <c r="A46" s="1476" t="s">
        <v>265</v>
      </c>
      <c r="B46" s="1476" t="s">
        <v>266</v>
      </c>
      <c r="C46" s="1476" t="s">
        <v>267</v>
      </c>
      <c r="D46" s="1476" t="s">
        <v>587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265</v>
      </c>
      <c r="B47" s="1476" t="s">
        <v>266</v>
      </c>
      <c r="C47" s="1476" t="s">
        <v>267</v>
      </c>
      <c r="D47" s="1476" t="s">
        <v>587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265</v>
      </c>
      <c r="B48" s="1476" t="s">
        <v>266</v>
      </c>
      <c r="C48" s="1476" t="s">
        <v>267</v>
      </c>
      <c r="D48" s="1476" t="s">
        <v>587</v>
      </c>
      <c r="E48" s="2372"/>
      <c r="F48" s="2372"/>
      <c r="G48" s="2372"/>
      <c r="H48" s="2372"/>
      <c r="I48" s="2399"/>
      <c r="J48" s="2369"/>
      <c r="K48" s="1476"/>
      <c r="L48" s="1477"/>
      <c r="P48" s="2370"/>
      <c r="Q48" s="2370"/>
      <c r="R48" s="469"/>
      <c r="S48" s="1391"/>
      <c r="T48" s="400" t="s">
        <v>576</v>
      </c>
      <c r="U48" s="480"/>
      <c r="V48" s="480"/>
      <c r="W48" s="480"/>
      <c r="X48" s="480"/>
      <c r="Y48" s="480"/>
      <c r="Z48" s="480"/>
      <c r="AA48" s="480"/>
      <c r="AB48" s="480"/>
      <c r="AC48" s="480"/>
      <c r="AD48" s="480"/>
      <c r="AE48" s="480"/>
      <c r="AF48" s="480"/>
      <c r="AG48" s="480"/>
      <c r="AH48" s="480"/>
      <c r="AI48" s="480"/>
      <c r="AJ48" s="480"/>
      <c r="AK48" s="1371" t="s">
        <v>577</v>
      </c>
      <c r="AM48" s="613"/>
      <c r="AN48" s="613" t="str">
        <f>IF(T48="","",T48)</f>
        <v>Добавить значение признака дифференциации</v>
      </c>
      <c r="AO48" s="613"/>
      <c r="AP48" s="613"/>
      <c r="AQ48" s="1268">
        <v>20</v>
      </c>
    </row>
    <row customHeight="1" ht="22.049999999999997">
      <c r="A49" s="1476" t="s">
        <v>265</v>
      </c>
      <c r="B49" s="1476" t="s">
        <v>266</v>
      </c>
      <c r="C49" s="1476" t="s">
        <v>267</v>
      </c>
      <c r="D49" s="1476" t="s">
        <v>587</v>
      </c>
      <c r="E49" s="2372"/>
      <c r="F49" s="2372"/>
      <c r="G49" s="2372"/>
      <c r="H49" s="2372"/>
      <c r="I49" s="2369"/>
      <c r="J49" s="1476"/>
      <c r="K49" s="1476"/>
      <c r="L49" s="1477"/>
      <c r="P49" s="2370"/>
      <c r="Q49" s="1563"/>
      <c r="R49" s="469"/>
      <c r="S49" s="1391"/>
      <c r="T49" s="478" t="s">
        <v>505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265</v>
      </c>
      <c r="B50" s="1476" t="s">
        <v>266</v>
      </c>
      <c r="C50" s="1476" t="s">
        <v>267</v>
      </c>
      <c r="D50" s="1476" t="s">
        <v>587</v>
      </c>
      <c r="E50" s="2372"/>
      <c r="F50" s="2372"/>
      <c r="G50" s="2372"/>
      <c r="H50" s="2371"/>
      <c r="I50" s="1476"/>
      <c r="J50" s="1476"/>
      <c r="K50" s="1476"/>
      <c r="L50" s="1477"/>
      <c r="M50" s="1478"/>
      <c r="N50" s="1478"/>
      <c r="O50" s="650"/>
      <c r="P50" s="473"/>
      <c r="Q50" s="488"/>
      <c r="R50" s="468"/>
      <c r="S50" s="1391"/>
      <c r="T50" s="485" t="s">
        <v>578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8" customFormat="1" customHeight="1" ht="0">
      <c r="A51" s="1456" t="s">
        <v>265</v>
      </c>
      <c r="B51" s="1456" t="s">
        <v>266</v>
      </c>
      <c r="C51" s="1427"/>
      <c r="D51" s="1427"/>
      <c r="E51" s="2372"/>
      <c r="F51" s="2371"/>
      <c r="G51" s="1427"/>
      <c r="H51" s="1427"/>
      <c r="I51" s="1427"/>
      <c r="J51" s="1427"/>
      <c r="K51" s="1427"/>
      <c r="L51" s="1571"/>
      <c r="M51" s="1434"/>
      <c r="N51" s="1434"/>
      <c r="P51" s="1429"/>
      <c r="Q51" s="1430"/>
      <c r="R51" s="1429"/>
      <c r="S51" s="1435"/>
      <c r="T51" s="1438" t="s">
        <v>312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8" customFormat="1" customHeight="1" ht="0">
      <c r="A52" s="1456" t="s">
        <v>265</v>
      </c>
      <c r="B52" s="1456"/>
      <c r="C52" s="1456"/>
      <c r="D52" s="1456"/>
      <c r="E52" s="2371"/>
      <c r="F52" s="1456"/>
      <c r="G52" s="1456"/>
      <c r="H52" s="1456"/>
      <c r="I52" s="1456"/>
      <c r="J52" s="1456"/>
      <c r="K52" s="1456"/>
      <c r="L52" s="1459"/>
      <c r="M52" s="1434"/>
      <c r="N52" s="1434"/>
      <c r="O52" s="631"/>
      <c r="P52" s="493"/>
      <c r="Q52" s="1457"/>
      <c r="R52" s="493"/>
      <c r="S52" s="1435"/>
      <c r="T52" s="1438" t="s">
        <v>360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361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2D7D3-39A9-4E8E-818C-C7B814838B6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7" width="10.57421875" hidden="1"/>
    <col min="2" max="2" style="5467" width="11.00390625" hidden="1" customWidth="1"/>
    <col min="3" max="3" style="5467" width="10.57421875" hidden="1"/>
    <col min="4" max="4" style="5467" width="11.8515625" hidden="1" customWidth="1"/>
    <col min="5" max="5" style="5467" width="10.00390625" hidden="1" customWidth="1"/>
    <col min="6" max="6" style="5467" width="8.7109375" hidden="1" customWidth="1"/>
    <col min="7" max="7" style="5467" width="7.57421875" hidden="1" customWidth="1"/>
    <col min="8" max="8" style="5467" width="11.421875" hidden="1" customWidth="1"/>
    <col min="9" max="9" style="5467" width="14.140625" hidden="1" customWidth="1"/>
    <col min="10" max="10" style="5467" width="9.8515625" hidden="1" customWidth="1"/>
    <col min="11" max="11" style="5467" width="14.7109375" hidden="1" customWidth="1"/>
    <col min="12" max="12" style="6316" width="19.140625" hidden="1" customWidth="1"/>
    <col min="13" max="14" style="6317" width="12.28125" hidden="1" customWidth="1"/>
    <col min="15" max="15" style="6317" width="23.421875" hidden="1" customWidth="1"/>
    <col min="16" max="16" style="6318" width="3.00390625" customWidth="1"/>
    <col min="17" max="18" style="6319" width="3.00390625" customWidth="1"/>
    <col min="19" max="19" style="6320" width="12.00390625" customWidth="1"/>
    <col min="20" max="20" style="5387" width="35.00390625" customWidth="1"/>
    <col min="21" max="21" style="5387" width="0.140625" customWidth="1"/>
    <col min="22" max="24" style="5387" width="24.7109375" hidden="1" customWidth="1"/>
    <col min="25" max="25" style="5387" width="11.7109375" hidden="1" customWidth="1"/>
    <col min="26" max="26" style="5387" width="3.7109375" hidden="1" customWidth="1"/>
    <col min="27" max="27" style="5387" width="11.7109375" hidden="1" customWidth="1"/>
    <col min="28" max="28" style="5387" width="8.57421875" hidden="1" customWidth="1"/>
    <col min="29" max="29" style="5387" width="24.7109375" customWidth="1"/>
    <col min="30" max="31" style="5387" width="24.00390625" customWidth="1"/>
    <col min="32" max="32" style="5387" width="11.00390625" customWidth="1"/>
    <col min="33" max="33" style="5387" width="3.7109375" customWidth="1"/>
    <col min="34" max="34" style="5387" width="11.00390625" customWidth="1"/>
    <col min="35" max="35" style="5387" width="8.57421875" hidden="1" customWidth="1"/>
    <col min="36" max="36" style="5387" width="4.00390625" customWidth="1"/>
    <col min="37" max="37" style="5387" width="115.00390625" customWidth="1"/>
    <col min="38" max="42" style="5468" width="10.00390625" customWidth="1"/>
    <col min="43" max="43" style="538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155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490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491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571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572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573</v>
      </c>
      <c r="U5" s="413"/>
      <c r="V5" s="2463"/>
      <c r="W5" s="2464"/>
      <c r="X5" s="2464"/>
      <c r="Y5" s="2464"/>
      <c r="Z5" s="2464"/>
      <c r="AA5" s="2464"/>
      <c r="AB5" s="2465"/>
      <c r="AC5" s="2466"/>
      <c r="AD5" s="2467"/>
      <c r="AE5" s="2467"/>
      <c r="AF5" s="2467"/>
      <c r="AG5" s="2467"/>
      <c r="AH5" s="2467"/>
      <c r="AI5" s="2467"/>
      <c r="AJ5" s="2468"/>
      <c r="AK5" s="1371" t="s">
        <v>574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499</v>
      </c>
      <c r="P6" s="2370"/>
      <c r="Q6" s="2370">
        <v>1</v>
      </c>
      <c r="R6" s="470"/>
      <c r="S6" s="1570">
        <f>$J6</f>
      </c>
      <c r="T6" s="399" t="s">
        <v>500</v>
      </c>
      <c r="U6" s="413"/>
      <c r="V6" s="2358"/>
      <c r="W6" s="2359"/>
      <c r="X6" s="2359"/>
      <c r="Y6" s="2359"/>
      <c r="Z6" s="2359"/>
      <c r="AA6" s="2359"/>
      <c r="AB6" s="2360"/>
      <c r="AC6" s="2358"/>
      <c r="AD6" s="2359"/>
      <c r="AE6" s="2359"/>
      <c r="AF6" s="2359"/>
      <c r="AG6" s="2359"/>
      <c r="AH6" s="2359"/>
      <c r="AI6" s="2359"/>
      <c r="AJ6" s="2360"/>
      <c r="AK6" s="1420" t="s">
        <v>575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576</v>
      </c>
      <c r="U9" s="480"/>
      <c r="V9" s="480"/>
      <c r="W9" s="480"/>
      <c r="X9" s="480"/>
      <c r="Y9" s="480"/>
      <c r="Z9" s="480"/>
      <c r="AA9" s="480"/>
      <c r="AB9" s="480"/>
      <c r="AC9" s="480"/>
      <c r="AD9" s="480"/>
      <c r="AE9" s="480"/>
      <c r="AF9" s="480"/>
      <c r="AG9" s="480"/>
      <c r="AH9" s="480"/>
      <c r="AI9" s="480"/>
      <c r="AJ9" s="480"/>
      <c r="AK9" s="1371" t="s">
        <v>577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505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578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312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360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7" customFormat="1" customHeight="1" ht="22.5" hidden="1">
      <c r="L18" s="1560"/>
      <c r="M18" s="1475"/>
      <c r="N18" s="1475"/>
      <c r="O18" s="1480" t="s">
        <v>508</v>
      </c>
      <c r="P18" s="1475"/>
      <c r="Q18" s="1484"/>
      <c r="R18" s="1484"/>
      <c r="S18" s="842"/>
      <c r="Y18" s="1480"/>
      <c r="AA18" s="1480"/>
      <c r="AB18" s="1479"/>
      <c r="AF18" s="1480"/>
      <c r="AH18" s="1480"/>
      <c r="AI18" s="1479"/>
      <c r="AL18" s="624"/>
      <c r="AM18" s="624"/>
      <c r="AN18" s="624"/>
      <c r="AO18" s="624"/>
      <c r="AP18" s="624"/>
      <c r="AQ18" s="1273">
        <v>0</v>
      </c>
    </row>
    <row s="5467" customFormat="1" customHeight="1" ht="14.25" hidden="1">
      <c r="L19" s="1560"/>
      <c r="M19" s="1475"/>
      <c r="N19" s="1475"/>
      <c r="O19" s="1475"/>
      <c r="P19" s="1475"/>
      <c r="Q19" s="1484"/>
      <c r="R19" s="1484"/>
      <c r="S19" s="842"/>
      <c r="AB19" s="1479"/>
      <c r="AI19" s="1479"/>
      <c r="AL19" s="624"/>
      <c r="AM19" s="624"/>
      <c r="AN19" s="624"/>
      <c r="AO19" s="624"/>
      <c r="AP19" s="624"/>
      <c r="AQ19" s="1273">
        <v>0</v>
      </c>
    </row>
    <row s="5467" customFormat="1" customHeight="1" ht="12" hidden="1">
      <c r="L20" s="1560"/>
      <c r="M20" s="1475"/>
      <c r="N20" s="1475"/>
      <c r="O20" s="1477" t="s">
        <v>509</v>
      </c>
      <c r="P20" s="1475"/>
      <c r="Q20" s="1555"/>
      <c r="R20" s="1555"/>
      <c r="S20" s="842"/>
      <c r="T20" s="1273" t="s">
        <v>510</v>
      </c>
      <c r="Z20" s="299" t="s">
        <v>511</v>
      </c>
      <c r="AB20" s="299" t="s">
        <v>512</v>
      </c>
      <c r="AC20" s="1273" t="s">
        <v>510</v>
      </c>
      <c r="AG20" s="299" t="s">
        <v>513</v>
      </c>
      <c r="AI20" s="299" t="s">
        <v>512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0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04" customFormat="1" customHeight="1" ht="18.75" hidden="1">
      <c r="A28" s="1481"/>
      <c r="B28" s="1481"/>
      <c r="C28" s="1481"/>
      <c r="D28" s="1481"/>
      <c r="E28" s="1481"/>
      <c r="F28" s="1481"/>
      <c r="G28" s="1481"/>
      <c r="H28" s="1481"/>
      <c r="I28" s="1481"/>
      <c r="J28" s="1481"/>
      <c r="K28" s="1481"/>
      <c r="L28" s="1482"/>
      <c r="M28" s="1481"/>
      <c r="N28" s="1481"/>
      <c r="O28" s="1481"/>
      <c r="S28" s="2363" t="s">
        <v>514</v>
      </c>
      <c r="T28" s="2363"/>
      <c r="U28" s="1485"/>
      <c r="V28" s="2377" t="str">
        <f>IF(TITLE_DATE_PR_CHANGE="",IF(TITLE_DATE_PR="","",TITLE_DATE_PR),TITLE_DATE_PR_CHANGE)</f>
        <v>45408.605891203704</v>
      </c>
      <c r="W28" s="2377"/>
      <c r="X28" s="2377"/>
      <c r="Y28" s="2377"/>
      <c r="Z28" s="2377"/>
      <c r="AA28" s="2377"/>
      <c r="AB28" s="439"/>
      <c r="AC28" s="2377" t="str">
        <f>IF(TITLE_DATE_PR_CHANGE="",IF(TITLE_DATE_PR="","",TITLE_DATE_PR),TITLE_DATE_PR_CHANGE)</f>
        <v>45408.605891203704</v>
      </c>
      <c r="AD28" s="2377"/>
      <c r="AE28" s="2377"/>
      <c r="AF28" s="2377"/>
      <c r="AG28" s="2377"/>
      <c r="AH28" s="2377"/>
      <c r="AI28" s="439"/>
      <c r="AJ28" s="439"/>
      <c r="AK28" s="393"/>
      <c r="AL28" s="481"/>
      <c r="AM28" s="481"/>
      <c r="AN28" s="481"/>
      <c r="AO28" s="481"/>
      <c r="AP28" s="481"/>
      <c r="AQ28" s="531">
        <v>0</v>
      </c>
    </row>
    <row s="5604" customFormat="1" customHeight="1" ht="18.75" hidden="1">
      <c r="A29" s="1481"/>
      <c r="B29" s="1481"/>
      <c r="C29" s="1481"/>
      <c r="D29" s="1481"/>
      <c r="E29" s="1481"/>
      <c r="F29" s="1481"/>
      <c r="G29" s="1481"/>
      <c r="H29" s="1481"/>
      <c r="I29" s="1481"/>
      <c r="J29" s="1481"/>
      <c r="K29" s="1481"/>
      <c r="L29" s="1482"/>
      <c r="M29" s="1481"/>
      <c r="N29" s="1481"/>
      <c r="O29" s="1481"/>
      <c r="S29" s="2363" t="s">
        <v>515</v>
      </c>
      <c r="T29" s="2363"/>
      <c r="U29" s="1485"/>
      <c r="V29" s="2364" t="str">
        <f>IF(TITLE_NUMBER_PR_CHANGE="",IF(TITLE_NUMBER_PR="","",TITLE_NUMBER_PR),TITLE_NUMBER_PR_CHANGE)</f>
        <v>27-2139</v>
      </c>
      <c r="W29" s="2364"/>
      <c r="X29" s="2364"/>
      <c r="Y29" s="2364"/>
      <c r="Z29" s="2364"/>
      <c r="AA29" s="2364"/>
      <c r="AB29" s="439"/>
      <c r="AC29" s="2364" t="str">
        <f>IF(TITLE_NUMBER_PR_CHANGE="",IF(TITLE_NUMBER_PR="","",TITLE_NUMBER_PR),TITLE_NUMBER_PR_CHANGE)</f>
        <v>27-2139</v>
      </c>
      <c r="AD29" s="2364"/>
      <c r="AE29" s="2364"/>
      <c r="AF29" s="2364"/>
      <c r="AG29" s="2364"/>
      <c r="AH29" s="2364"/>
      <c r="AI29" s="439"/>
      <c r="AJ29" s="439"/>
      <c r="AK29" s="393"/>
      <c r="AL29" s="481"/>
      <c r="AM29" s="481"/>
      <c r="AN29" s="481"/>
      <c r="AO29" s="481"/>
      <c r="AP29" s="481"/>
      <c r="AQ29" s="531">
        <v>0</v>
      </c>
    </row>
    <row s="560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04" customFormat="1" customHeight="1" ht="18.75">
      <c r="A32" s="1481"/>
      <c r="B32" s="1481"/>
      <c r="C32" s="1481"/>
      <c r="D32" s="1481"/>
      <c r="E32" s="1481"/>
      <c r="F32" s="1481"/>
      <c r="G32" s="1481"/>
      <c r="H32" s="1481"/>
      <c r="I32" s="1481"/>
      <c r="J32" s="1481"/>
      <c r="K32" s="1481"/>
      <c r="L32" s="1482"/>
      <c r="M32" s="1481"/>
      <c r="N32" s="1481"/>
      <c r="O32" s="1481"/>
      <c r="S32" s="2363" t="s">
        <v>516</v>
      </c>
      <c r="T32" s="2363"/>
      <c r="U32" s="1485"/>
      <c r="V32" s="2377" t="str">
        <f>IF(TITLE_DATE_PR_CHANGE="",IF(TITLE_DATE_PR="","",TITLE_DATE_PR),TITLE_DATE_PR_CHANGE)</f>
        <v>45408.605891203704</v>
      </c>
      <c r="W32" s="2377"/>
      <c r="X32" s="2377"/>
      <c r="Y32" s="2377"/>
      <c r="Z32" s="2377"/>
      <c r="AA32" s="2377"/>
      <c r="AB32" s="439"/>
      <c r="AC32" s="2377" t="str">
        <f>IF(TITLE_DATE_PR_CHANGE="",IF(TITLE_DATE_PR="","",TITLE_DATE_PR),TITLE_DATE_PR_CHANGE)</f>
        <v>45408.605891203704</v>
      </c>
      <c r="AD32" s="2377"/>
      <c r="AE32" s="2377"/>
      <c r="AF32" s="2377"/>
      <c r="AG32" s="2377"/>
      <c r="AH32" s="2377"/>
      <c r="AI32" s="439"/>
      <c r="AJ32" s="439"/>
      <c r="AK32" s="393"/>
      <c r="AL32" s="481"/>
      <c r="AM32" s="481"/>
      <c r="AN32" s="481"/>
      <c r="AO32" s="481"/>
      <c r="AP32" s="481"/>
      <c r="AQ32" s="531">
        <v>0</v>
      </c>
    </row>
    <row s="5604" customFormat="1" customHeight="1" ht="18.75">
      <c r="A33" s="1481"/>
      <c r="B33" s="1481"/>
      <c r="C33" s="1481"/>
      <c r="D33" s="1481"/>
      <c r="E33" s="1481"/>
      <c r="F33" s="1481"/>
      <c r="G33" s="1481"/>
      <c r="H33" s="1481"/>
      <c r="I33" s="1481"/>
      <c r="J33" s="1481"/>
      <c r="K33" s="1481"/>
      <c r="L33" s="1482"/>
      <c r="M33" s="1481"/>
      <c r="N33" s="1481"/>
      <c r="O33" s="1481"/>
      <c r="S33" s="2363" t="s">
        <v>517</v>
      </c>
      <c r="T33" s="2363"/>
      <c r="U33" s="1485"/>
      <c r="V33" s="2364" t="str">
        <f>IF(TITLE_NUMBER_PR_CHANGE="",IF(TITLE_NUMBER_PR="","",TITLE_NUMBER_PR),TITLE_NUMBER_PR_CHANGE)</f>
        <v>27-2139</v>
      </c>
      <c r="W33" s="2364"/>
      <c r="X33" s="2364"/>
      <c r="Y33" s="2364"/>
      <c r="Z33" s="2364"/>
      <c r="AA33" s="2364"/>
      <c r="AB33" s="439"/>
      <c r="AC33" s="2364" t="str">
        <f>IF(TITLE_NUMBER_PR_CHANGE="",IF(TITLE_NUMBER_PR="","",TITLE_NUMBER_PR),TITLE_NUMBER_PR_CHANGE)</f>
        <v>27-2139</v>
      </c>
      <c r="AD33" s="2364"/>
      <c r="AE33" s="2364"/>
      <c r="AF33" s="2364"/>
      <c r="AG33" s="2364"/>
      <c r="AH33" s="2364"/>
      <c r="AI33" s="439"/>
      <c r="AJ33" s="439"/>
      <c r="AK33" s="393"/>
      <c r="AL33" s="481"/>
      <c r="AM33" s="481"/>
      <c r="AN33" s="481"/>
      <c r="AO33" s="481"/>
      <c r="AP33" s="481"/>
      <c r="AQ33" s="531">
        <v>0</v>
      </c>
    </row>
    <row s="560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518</v>
      </c>
      <c r="AC34" s="439"/>
      <c r="AD34" s="439"/>
      <c r="AE34" s="439"/>
      <c r="AF34" s="439"/>
      <c r="AG34" s="439"/>
      <c r="AH34" s="439"/>
      <c r="AI34" s="391" t="s">
        <v>518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393</v>
      </c>
      <c r="T36" s="2240"/>
      <c r="U36" s="2240"/>
      <c r="V36" s="2240"/>
      <c r="W36" s="2240"/>
      <c r="X36" s="2240"/>
      <c r="Y36" s="2240"/>
      <c r="Z36" s="2240"/>
      <c r="AA36" s="2240"/>
      <c r="AB36" s="2240"/>
      <c r="AC36" s="2240"/>
      <c r="AD36" s="2240"/>
      <c r="AE36" s="2240"/>
      <c r="AF36" s="2240"/>
      <c r="AG36" s="2240"/>
      <c r="AH36" s="2240"/>
      <c r="AI36" s="2240"/>
      <c r="AJ36" s="2240"/>
      <c r="AK36" s="2240" t="s">
        <v>394</v>
      </c>
      <c r="AQ36" s="1268">
        <v>14</v>
      </c>
    </row>
    <row customHeight="1" ht="14.699999999999998">
      <c r="Q37" s="489"/>
      <c r="R37" s="489"/>
      <c r="S37" s="2386" t="s">
        <v>88</v>
      </c>
      <c r="T37" s="2322" t="s">
        <v>519</v>
      </c>
      <c r="U37" s="414"/>
      <c r="V37" s="2387" t="s">
        <v>520</v>
      </c>
      <c r="W37" s="2388"/>
      <c r="X37" s="2388"/>
      <c r="Y37" s="2388"/>
      <c r="Z37" s="2388"/>
      <c r="AA37" s="2389"/>
      <c r="AB37" s="2390" t="s">
        <v>521</v>
      </c>
      <c r="AC37" s="2387" t="s">
        <v>520</v>
      </c>
      <c r="AD37" s="2388"/>
      <c r="AE37" s="2388"/>
      <c r="AF37" s="2388"/>
      <c r="AG37" s="2388"/>
      <c r="AH37" s="2389"/>
      <c r="AI37" s="2390" t="s">
        <v>522</v>
      </c>
      <c r="AJ37" s="2393" t="s">
        <v>523</v>
      </c>
      <c r="AK37" s="2240"/>
      <c r="AQ37" s="1268">
        <v>14</v>
      </c>
    </row>
    <row customHeight="1" ht="35.699999999999996">
      <c r="Q38" s="489"/>
      <c r="R38" s="489"/>
      <c r="S38" s="2386"/>
      <c r="T38" s="2322"/>
      <c r="U38" s="1144"/>
      <c r="V38" s="1565" t="s">
        <v>579</v>
      </c>
      <c r="W38" s="2375" t="s">
        <v>526</v>
      </c>
      <c r="X38" s="2376"/>
      <c r="Y38" s="2375" t="s">
        <v>527</v>
      </c>
      <c r="Z38" s="2382"/>
      <c r="AA38" s="2376"/>
      <c r="AB38" s="2391"/>
      <c r="AC38" s="1565" t="s">
        <v>579</v>
      </c>
      <c r="AD38" s="2375" t="s">
        <v>526</v>
      </c>
      <c r="AE38" s="2376"/>
      <c r="AF38" s="2375" t="s">
        <v>527</v>
      </c>
      <c r="AG38" s="2382"/>
      <c r="AH38" s="2376"/>
      <c r="AI38" s="2391"/>
      <c r="AJ38" s="2394"/>
      <c r="AK38" s="2240"/>
      <c r="AQ38" s="1268">
        <v>34</v>
      </c>
    </row>
    <row customHeight="1" ht="35.699999999999996">
      <c r="A39" s="1483"/>
      <c r="B39" s="1483" t="s">
        <v>167</v>
      </c>
      <c r="C39" s="1483" t="s">
        <v>168</v>
      </c>
      <c r="D39" s="1483" t="s">
        <v>169</v>
      </c>
      <c r="E39" s="1477" t="s">
        <v>528</v>
      </c>
      <c r="F39" s="1477" t="s">
        <v>529</v>
      </c>
      <c r="G39" s="1477" t="s">
        <v>530</v>
      </c>
      <c r="H39" s="1477"/>
      <c r="I39" s="1477" t="s">
        <v>580</v>
      </c>
      <c r="J39" s="1477" t="s">
        <v>533</v>
      </c>
      <c r="K39" s="1477" t="s">
        <v>581</v>
      </c>
      <c r="L39" s="1477" t="s">
        <v>509</v>
      </c>
      <c r="Q39" s="489"/>
      <c r="R39" s="489"/>
      <c r="S39" s="2386"/>
      <c r="T39" s="2322"/>
      <c r="U39" s="415"/>
      <c r="V39" s="1565" t="s">
        <v>582</v>
      </c>
      <c r="W39" s="1335" t="s">
        <v>583</v>
      </c>
      <c r="X39" s="1335" t="s">
        <v>584</v>
      </c>
      <c r="Y39" s="1568" t="s">
        <v>537</v>
      </c>
      <c r="Z39" s="2383" t="s">
        <v>538</v>
      </c>
      <c r="AA39" s="2384"/>
      <c r="AB39" s="2392"/>
      <c r="AC39" s="1565" t="s">
        <v>582</v>
      </c>
      <c r="AD39" s="1335" t="s">
        <v>583</v>
      </c>
      <c r="AE39" s="1335" t="s">
        <v>584</v>
      </c>
      <c r="AF39" s="1568" t="s">
        <v>537</v>
      </c>
      <c r="AG39" s="2383" t="s">
        <v>538</v>
      </c>
      <c r="AH39" s="2384"/>
      <c r="AI39" s="2392"/>
      <c r="AJ39" s="2395"/>
      <c r="AK39" s="2240"/>
      <c r="AQ39" s="1268">
        <v>34</v>
      </c>
    </row>
    <row s="607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136</v>
      </c>
      <c r="T40" s="1368" t="s">
        <v>103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270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155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270</v>
      </c>
      <c r="B42" s="1476" t="s">
        <v>271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490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491</v>
      </c>
      <c r="AM42" s="613"/>
      <c r="AN42" s="613" t="str">
        <f>IF(T42="","",T42)</f>
        <v>Территория действия тарифа</v>
      </c>
      <c r="AO42" s="613"/>
      <c r="AP42" s="613"/>
      <c r="AQ42" s="1268">
        <v>23</v>
      </c>
    </row>
    <row customHeight="1" ht="24">
      <c r="A43" s="1476" t="s">
        <v>270</v>
      </c>
      <c r="B43" s="1476" t="s">
        <v>271</v>
      </c>
      <c r="C43" s="1476" t="s">
        <v>272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571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572</v>
      </c>
      <c r="AM43" s="613"/>
      <c r="AN43" s="613" t="str">
        <f>IF(T43="","",T43)</f>
        <v>Наименование централизованной системы холодного водоснабжения</v>
      </c>
      <c r="AO43" s="613"/>
      <c r="AP43" s="613"/>
      <c r="AQ43" s="1268">
        <v>23</v>
      </c>
    </row>
    <row customHeight="1" ht="24">
      <c r="A44" s="1476" t="s">
        <v>270</v>
      </c>
      <c r="B44" s="1476" t="s">
        <v>271</v>
      </c>
      <c r="C44" s="1476" t="s">
        <v>272</v>
      </c>
      <c r="D44" s="1476" t="s">
        <v>588</v>
      </c>
      <c r="E44" s="2372"/>
      <c r="F44" s="2372"/>
      <c r="G44" s="2372"/>
      <c r="H44" s="2372"/>
      <c r="I44" s="2369" t="str">
        <f>S43&amp;".1"</f>
        <v>...1</v>
      </c>
      <c r="J44" s="1476"/>
      <c r="K44" s="1476"/>
      <c r="L44" s="1477"/>
      <c r="P44" s="2370">
        <v>1</v>
      </c>
      <c r="Q44" s="1563"/>
      <c r="R44" s="469"/>
      <c r="S44" s="1570" t="str">
        <f>$I44</f>
        <v>...1</v>
      </c>
      <c r="T44" s="398" t="s">
        <v>573</v>
      </c>
      <c r="U44" s="413"/>
      <c r="V44" s="2463"/>
      <c r="W44" s="2464"/>
      <c r="X44" s="2464"/>
      <c r="Y44" s="2464"/>
      <c r="Z44" s="2464"/>
      <c r="AA44" s="2464"/>
      <c r="AB44" s="2465"/>
      <c r="AC44" s="2466"/>
      <c r="AD44" s="2467"/>
      <c r="AE44" s="2467"/>
      <c r="AF44" s="2467"/>
      <c r="AG44" s="2467"/>
      <c r="AH44" s="2467"/>
      <c r="AI44" s="2467"/>
      <c r="AJ44" s="2468"/>
      <c r="AK44" s="1371" t="s">
        <v>574</v>
      </c>
      <c r="AM44" s="613"/>
      <c r="AN44" s="613" t="str">
        <f>IF(T44="","",T44)</f>
        <v>Наименование признака дифференциации</v>
      </c>
      <c r="AO44" s="613"/>
      <c r="AP44" s="613"/>
      <c r="AQ44" s="1268">
        <v>23</v>
      </c>
    </row>
    <row customHeight="1" ht="24">
      <c r="A45" s="1476" t="s">
        <v>270</v>
      </c>
      <c r="B45" s="1476" t="s">
        <v>271</v>
      </c>
      <c r="C45" s="1476" t="s">
        <v>272</v>
      </c>
      <c r="D45" s="1476" t="s">
        <v>588</v>
      </c>
      <c r="E45" s="2372"/>
      <c r="F45" s="2372"/>
      <c r="G45" s="2372"/>
      <c r="H45" s="2372"/>
      <c r="I45" s="2399"/>
      <c r="J45" s="2369" t="str">
        <f>I44&amp;".1"</f>
        <v>...1.1</v>
      </c>
      <c r="K45" s="1476"/>
      <c r="L45" s="1477" t="s">
        <v>499</v>
      </c>
      <c r="P45" s="2370"/>
      <c r="Q45" s="2370">
        <v>1</v>
      </c>
      <c r="R45" s="470"/>
      <c r="S45" s="1570" t="str">
        <f>$J45</f>
        <v>...1.1</v>
      </c>
      <c r="T45" s="399" t="s">
        <v>500</v>
      </c>
      <c r="U45" s="413"/>
      <c r="V45" s="2358"/>
      <c r="W45" s="2359"/>
      <c r="X45" s="2359"/>
      <c r="Y45" s="2359"/>
      <c r="Z45" s="2359"/>
      <c r="AA45" s="2359"/>
      <c r="AB45" s="2360"/>
      <c r="AC45" s="2358"/>
      <c r="AD45" s="2359"/>
      <c r="AE45" s="2359"/>
      <c r="AF45" s="2359"/>
      <c r="AG45" s="2359"/>
      <c r="AH45" s="2359"/>
      <c r="AI45" s="2359"/>
      <c r="AJ45" s="2360"/>
      <c r="AK45" s="1420" t="s">
        <v>575</v>
      </c>
      <c r="AM45" s="613"/>
      <c r="AN45" s="613" t="str">
        <f>IF(T45="","",T45)</f>
        <v>Группа потребителей</v>
      </c>
      <c r="AO45" s="613"/>
      <c r="AP45" s="613"/>
      <c r="AQ45" s="1268">
        <v>23</v>
      </c>
    </row>
    <row customHeight="1" ht="24">
      <c r="A46" s="1476" t="s">
        <v>270</v>
      </c>
      <c r="B46" s="1476" t="s">
        <v>271</v>
      </c>
      <c r="C46" s="1476" t="s">
        <v>272</v>
      </c>
      <c r="D46" s="1476" t="s">
        <v>588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270</v>
      </c>
      <c r="B47" s="1476" t="s">
        <v>271</v>
      </c>
      <c r="C47" s="1476" t="s">
        <v>272</v>
      </c>
      <c r="D47" s="1476" t="s">
        <v>588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270</v>
      </c>
      <c r="B48" s="1476" t="s">
        <v>271</v>
      </c>
      <c r="C48" s="1476" t="s">
        <v>272</v>
      </c>
      <c r="D48" s="1476" t="s">
        <v>588</v>
      </c>
      <c r="E48" s="2372"/>
      <c r="F48" s="2372"/>
      <c r="G48" s="2372"/>
      <c r="H48" s="2372"/>
      <c r="I48" s="2399"/>
      <c r="J48" s="2369"/>
      <c r="K48" s="1476"/>
      <c r="L48" s="1477"/>
      <c r="P48" s="2370"/>
      <c r="Q48" s="2370"/>
      <c r="R48" s="469"/>
      <c r="S48" s="1391"/>
      <c r="T48" s="400" t="s">
        <v>576</v>
      </c>
      <c r="U48" s="480"/>
      <c r="V48" s="480"/>
      <c r="W48" s="480"/>
      <c r="X48" s="480"/>
      <c r="Y48" s="480"/>
      <c r="Z48" s="480"/>
      <c r="AA48" s="480"/>
      <c r="AB48" s="480"/>
      <c r="AC48" s="480"/>
      <c r="AD48" s="480"/>
      <c r="AE48" s="480"/>
      <c r="AF48" s="480"/>
      <c r="AG48" s="480"/>
      <c r="AH48" s="480"/>
      <c r="AI48" s="480"/>
      <c r="AJ48" s="480"/>
      <c r="AK48" s="1371" t="s">
        <v>577</v>
      </c>
      <c r="AM48" s="613"/>
      <c r="AN48" s="613" t="str">
        <f>IF(T48="","",T48)</f>
        <v>Добавить значение признака дифференциации</v>
      </c>
      <c r="AO48" s="613"/>
      <c r="AP48" s="613"/>
      <c r="AQ48" s="1268">
        <v>20</v>
      </c>
    </row>
    <row customHeight="1" ht="22.049999999999997">
      <c r="A49" s="1476" t="s">
        <v>270</v>
      </c>
      <c r="B49" s="1476" t="s">
        <v>271</v>
      </c>
      <c r="C49" s="1476" t="s">
        <v>272</v>
      </c>
      <c r="D49" s="1476" t="s">
        <v>588</v>
      </c>
      <c r="E49" s="2372"/>
      <c r="F49" s="2372"/>
      <c r="G49" s="2372"/>
      <c r="H49" s="2372"/>
      <c r="I49" s="2369"/>
      <c r="J49" s="1476"/>
      <c r="K49" s="1476"/>
      <c r="L49" s="1477"/>
      <c r="P49" s="2370"/>
      <c r="Q49" s="1563"/>
      <c r="R49" s="469"/>
      <c r="S49" s="1391"/>
      <c r="T49" s="478" t="s">
        <v>505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270</v>
      </c>
      <c r="B50" s="1476" t="s">
        <v>271</v>
      </c>
      <c r="C50" s="1476" t="s">
        <v>272</v>
      </c>
      <c r="D50" s="1476" t="s">
        <v>588</v>
      </c>
      <c r="E50" s="2372"/>
      <c r="F50" s="2372"/>
      <c r="G50" s="2372"/>
      <c r="H50" s="2371"/>
      <c r="I50" s="1476"/>
      <c r="J50" s="1476"/>
      <c r="K50" s="1476"/>
      <c r="L50" s="1477"/>
      <c r="M50" s="1478"/>
      <c r="N50" s="1478"/>
      <c r="O50" s="650"/>
      <c r="P50" s="473"/>
      <c r="Q50" s="488"/>
      <c r="R50" s="468"/>
      <c r="S50" s="1391"/>
      <c r="T50" s="485" t="s">
        <v>578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8" customFormat="1" customHeight="1" ht="0">
      <c r="A51" s="1456" t="s">
        <v>270</v>
      </c>
      <c r="B51" s="1456" t="s">
        <v>271</v>
      </c>
      <c r="C51" s="1427"/>
      <c r="D51" s="1427"/>
      <c r="E51" s="2372"/>
      <c r="F51" s="2371"/>
      <c r="G51" s="1427"/>
      <c r="H51" s="1427"/>
      <c r="I51" s="1427"/>
      <c r="J51" s="1427"/>
      <c r="K51" s="1427"/>
      <c r="L51" s="1571"/>
      <c r="M51" s="1434"/>
      <c r="N51" s="1434"/>
      <c r="P51" s="1429"/>
      <c r="Q51" s="1430"/>
      <c r="R51" s="1429"/>
      <c r="S51" s="1435"/>
      <c r="T51" s="1438" t="s">
        <v>312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8" customFormat="1" customHeight="1" ht="0">
      <c r="A52" s="1456" t="s">
        <v>270</v>
      </c>
      <c r="B52" s="1456"/>
      <c r="C52" s="1456"/>
      <c r="D52" s="1456"/>
      <c r="E52" s="2371"/>
      <c r="F52" s="1456"/>
      <c r="G52" s="1456"/>
      <c r="H52" s="1456"/>
      <c r="I52" s="1456"/>
      <c r="J52" s="1456"/>
      <c r="K52" s="1456"/>
      <c r="L52" s="1459"/>
      <c r="M52" s="1434"/>
      <c r="N52" s="1434"/>
      <c r="O52" s="631"/>
      <c r="P52" s="493"/>
      <c r="Q52" s="1457"/>
      <c r="R52" s="493"/>
      <c r="S52" s="1435"/>
      <c r="T52" s="1438" t="s">
        <v>360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361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ADE91-93A8-F088-59CD-3A47896B26F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87" width="10.140625" hidden="1" customWidth="1"/>
    <col min="4" max="4" style="5387" width="11.8515625" hidden="1" customWidth="1"/>
    <col min="5" max="11" style="5387" width="10.140625" hidden="1" customWidth="1"/>
    <col min="12" max="12" style="5465" width="10.140625" hidden="1" customWidth="1"/>
    <col min="13" max="15" style="6318" width="10.140625" hidden="1" customWidth="1"/>
    <col min="16" max="16" style="6317" width="3.00390625" customWidth="1"/>
    <col min="17" max="17" style="6502" width="3.00390625" customWidth="1"/>
    <col min="18" max="18" style="6319" width="3.00390625" customWidth="1"/>
    <col min="19" max="19" style="6320" width="12.00390625" customWidth="1"/>
    <col min="20" max="20" style="5387" width="31.00390625" customWidth="1"/>
    <col min="21" max="21" style="5387" width="0.140625" customWidth="1"/>
    <col min="22" max="23" style="5387" width="21.7109375" hidden="1" customWidth="1"/>
    <col min="24" max="24" style="5387" width="11.7109375" hidden="1" customWidth="1"/>
    <col min="25" max="25" style="5387" width="3.7109375" hidden="1" customWidth="1"/>
    <col min="26" max="26" style="5387" width="11.7109375" hidden="1" customWidth="1"/>
    <col min="27" max="27" style="5387" width="8.57421875" hidden="1" customWidth="1"/>
    <col min="28" max="28" style="5387" width="27.00390625" customWidth="1"/>
    <col min="29" max="29" style="5387" width="24.57421875" customWidth="1"/>
    <col min="30" max="31" style="5387" width="21.00390625" customWidth="1"/>
    <col min="32" max="32" style="5387" width="11.00390625" customWidth="1"/>
    <col min="33" max="33" style="5387" width="3.7109375" customWidth="1"/>
    <col min="34" max="34" style="5387" width="11.00390625" customWidth="1"/>
    <col min="35" max="35" style="5387" width="8.57421875" hidden="1" customWidth="1"/>
    <col min="36" max="36" style="5387" width="4.00390625" customWidth="1"/>
    <col min="37" max="37" style="5387" width="115.00390625" customWidth="1"/>
    <col min="38" max="42" style="5468" width="10.00390625" customWidth="1"/>
    <col min="43" max="43" style="5387"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155</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489</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490</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491</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492</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493</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494</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495</v>
      </c>
      <c r="AM5" s="1737"/>
      <c r="AN5" s="1737" t="str">
        <f>IF(T5="","",T5)</f>
        <v>Источник тепловой энергии  </v>
      </c>
      <c r="AO5" s="1737"/>
      <c r="AP5" s="1737"/>
      <c r="AQ5" s="1744">
        <v>0</v>
      </c>
    </row>
    <row s="5468" customFormat="1" customHeight="1" ht="0.75" hidden="1">
      <c r="A6" s="1488"/>
      <c r="B6" s="1488"/>
      <c r="C6" s="1488"/>
      <c r="D6" s="1488"/>
      <c r="E6" s="2403"/>
      <c r="F6" s="2403"/>
      <c r="G6" s="2403"/>
      <c r="H6" s="2403"/>
      <c r="I6" s="2240">
        <f>S5&amp;".1"</f>
      </c>
      <c r="J6" s="1488"/>
      <c r="K6" s="1488"/>
      <c r="L6" s="1494" t="s">
        <v>496</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68"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28</v>
      </c>
      <c r="AD8" s="864"/>
      <c r="AE8" s="1370"/>
      <c r="AF8" s="2068"/>
      <c r="AG8" s="2055" t="s">
        <v>66</v>
      </c>
      <c r="AH8" s="2068"/>
      <c r="AI8" s="2055" t="s">
        <v>66</v>
      </c>
      <c r="AJ8" s="1461"/>
      <c r="AK8" s="2366" t="s">
        <v>554</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558</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68"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68"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68"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507</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68"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312</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68"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360</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508</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73" customFormat="1" customHeight="1" ht="14.25" hidden="1">
      <c r="A20" s="2084"/>
      <c r="B20" s="2084"/>
      <c r="C20" s="2084"/>
      <c r="D20" s="2084"/>
      <c r="E20" s="2084"/>
      <c r="F20" s="2084"/>
      <c r="G20" s="2084"/>
      <c r="H20" s="2084"/>
      <c r="I20" s="2084"/>
      <c r="J20" s="2084"/>
      <c r="K20" s="2084"/>
      <c r="L20" s="2084"/>
      <c r="M20" s="2085"/>
      <c r="N20" s="2085"/>
      <c r="O20" s="2086" t="s">
        <v>509</v>
      </c>
      <c r="P20" s="1621"/>
      <c r="Q20" s="1623"/>
      <c r="R20" s="1623"/>
      <c r="Y20" s="1620" t="s">
        <v>511</v>
      </c>
      <c r="AA20" s="1620" t="s">
        <v>512</v>
      </c>
      <c r="AC20" s="1620" t="s">
        <v>560</v>
      </c>
      <c r="AG20" s="1620" t="s">
        <v>511</v>
      </c>
      <c r="AI20" s="1620" t="s">
        <v>512</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04"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04"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514</v>
      </c>
      <c r="T28" s="2363"/>
      <c r="U28" s="1485"/>
      <c r="V28" s="2377" t="str">
        <f>IF(TITLE_DATE_PR_CHANGE="",IF(TITLE_DATE_PR="","",TITLE_DATE_PR),TITLE_DATE_PR_CHANGE)</f>
        <v>45408.605891203704</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04"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515</v>
      </c>
      <c r="T29" s="2363"/>
      <c r="U29" s="1485"/>
      <c r="V29" s="2364" t="str">
        <f>IF(TITLE_NUMBER_PR_CHANGE="",IF(TITLE_NUMBER_PR="","",TITLE_NUMBER_PR),TITLE_NUMBER_PR_CHANGE)</f>
        <v>27-2139</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04"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04"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514</v>
      </c>
      <c r="T32" s="2363"/>
      <c r="U32" s="1485"/>
      <c r="V32" s="2377" t="str">
        <f>IF(TITLE_DATE_PR_CHANGE="",IF(TITLE_DATE_PR="","",TITLE_DATE_PR),TITLE_DATE_PR_CHANGE)</f>
        <v>45408.605891203704</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04"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515</v>
      </c>
      <c r="T33" s="2363"/>
      <c r="U33" s="1485"/>
      <c r="V33" s="2364" t="str">
        <f>IF(TITLE_NUMBER_PR_CHANGE="",IF(TITLE_NUMBER_PR="","",TITLE_NUMBER_PR),TITLE_NUMBER_PR_CHANGE)</f>
        <v>27-2139</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04"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518</v>
      </c>
      <c r="AB34" s="1755"/>
      <c r="AC34" s="1748"/>
      <c r="AD34" s="1748"/>
      <c r="AE34" s="1748"/>
      <c r="AF34" s="1748"/>
      <c r="AG34" s="1748"/>
      <c r="AH34" s="1748"/>
      <c r="AI34" s="1755" t="s">
        <v>518</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393</v>
      </c>
      <c r="T36" s="2240"/>
      <c r="U36" s="2240"/>
      <c r="V36" s="2240"/>
      <c r="W36" s="2240"/>
      <c r="X36" s="2240"/>
      <c r="Y36" s="2240"/>
      <c r="Z36" s="2240"/>
      <c r="AA36" s="2288"/>
      <c r="AB36" s="2288"/>
      <c r="AC36" s="2288"/>
      <c r="AD36" s="2240"/>
      <c r="AE36" s="2240"/>
      <c r="AF36" s="2240"/>
      <c r="AG36" s="2240"/>
      <c r="AH36" s="2240"/>
      <c r="AI36" s="2240"/>
      <c r="AJ36" s="2240"/>
      <c r="AK36" s="2240" t="s">
        <v>394</v>
      </c>
      <c r="AQ36" s="1744">
        <v>14</v>
      </c>
    </row>
    <row customHeight="1" ht="14.699999999999998">
      <c r="Q37" s="404"/>
      <c r="R37" s="489"/>
      <c r="S37" s="2386" t="s">
        <v>88</v>
      </c>
      <c r="T37" s="2322" t="s">
        <v>589</v>
      </c>
      <c r="U37" s="450"/>
      <c r="V37" s="2388"/>
      <c r="W37" s="2388"/>
      <c r="X37" s="2388"/>
      <c r="Y37" s="2388"/>
      <c r="Z37" s="2388"/>
      <c r="AA37" s="2322" t="s">
        <v>521</v>
      </c>
      <c r="AB37" s="2321" t="s">
        <v>590</v>
      </c>
      <c r="AC37" s="2321" t="s">
        <v>564</v>
      </c>
      <c r="AD37" s="2404" t="s">
        <v>520</v>
      </c>
      <c r="AE37" s="2404"/>
      <c r="AF37" s="2388"/>
      <c r="AG37" s="2388"/>
      <c r="AH37" s="2389"/>
      <c r="AI37" s="2390" t="s">
        <v>521</v>
      </c>
      <c r="AJ37" s="2393" t="s">
        <v>523</v>
      </c>
      <c r="AK37" s="2240"/>
      <c r="AQ37" s="1744">
        <v>14</v>
      </c>
    </row>
    <row customHeight="1" ht="35.699999999999996">
      <c r="Q38" s="404"/>
      <c r="R38" s="489"/>
      <c r="S38" s="2386"/>
      <c r="T38" s="2322"/>
      <c r="U38" s="1144"/>
      <c r="V38" s="2216" t="s">
        <v>567</v>
      </c>
      <c r="W38" s="2240"/>
      <c r="X38" s="2407" t="s">
        <v>527</v>
      </c>
      <c r="Y38" s="2426"/>
      <c r="Z38" s="2426"/>
      <c r="AA38" s="2322"/>
      <c r="AB38" s="2321"/>
      <c r="AC38" s="2321"/>
      <c r="AD38" s="2216" t="s">
        <v>567</v>
      </c>
      <c r="AE38" s="2240"/>
      <c r="AF38" s="2426" t="s">
        <v>527</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167</v>
      </c>
      <c r="C40" s="1379" t="s">
        <v>168</v>
      </c>
      <c r="D40" s="1379" t="s">
        <v>169</v>
      </c>
      <c r="E40" s="1423" t="s">
        <v>528</v>
      </c>
      <c r="F40" s="1423" t="s">
        <v>529</v>
      </c>
      <c r="G40" s="1423" t="s">
        <v>530</v>
      </c>
      <c r="H40" s="1423" t="s">
        <v>531</v>
      </c>
      <c r="I40" s="1423" t="s">
        <v>532</v>
      </c>
      <c r="J40" s="1423" t="s">
        <v>533</v>
      </c>
      <c r="K40" s="1423" t="s">
        <v>534</v>
      </c>
      <c r="L40" s="1423" t="s">
        <v>509</v>
      </c>
      <c r="Q40" s="404"/>
      <c r="R40" s="489"/>
      <c r="S40" s="2386"/>
      <c r="T40" s="2322"/>
      <c r="U40" s="415"/>
      <c r="V40" s="2063" t="s">
        <v>568</v>
      </c>
      <c r="W40" s="2063" t="s">
        <v>569</v>
      </c>
      <c r="X40" s="2051" t="s">
        <v>537</v>
      </c>
      <c r="Y40" s="2383" t="s">
        <v>538</v>
      </c>
      <c r="Z40" s="2433"/>
      <c r="AA40" s="2322"/>
      <c r="AB40" s="2321"/>
      <c r="AC40" s="2321"/>
      <c r="AD40" s="2081" t="s">
        <v>568</v>
      </c>
      <c r="AE40" s="2072" t="s">
        <v>569</v>
      </c>
      <c r="AF40" s="2051" t="s">
        <v>537</v>
      </c>
      <c r="AG40" s="2383" t="s">
        <v>538</v>
      </c>
      <c r="AH40" s="2384"/>
      <c r="AI40" s="2392"/>
      <c r="AJ40" s="2395"/>
      <c r="AK40" s="2240"/>
      <c r="AQ40" s="1744">
        <v>14</v>
      </c>
    </row>
    <row s="6074"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136</v>
      </c>
      <c r="T41" s="1368" t="s">
        <v>103</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235</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155</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235</v>
      </c>
      <c r="B43" s="1380" t="s">
        <v>236</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490</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491</v>
      </c>
      <c r="AM43" s="1737"/>
      <c r="AN43" s="1737" t="str">
        <f>IF(T43="","",T43)</f>
        <v>Территория действия тарифа</v>
      </c>
      <c r="AO43" s="1737"/>
      <c r="AP43" s="1737"/>
      <c r="AQ43" s="1744">
        <v>21</v>
      </c>
    </row>
    <row customHeight="1" ht="24">
      <c r="A44" s="1380" t="s">
        <v>235</v>
      </c>
      <c r="B44" s="1380" t="s">
        <v>236</v>
      </c>
      <c r="C44" s="1380" t="s">
        <v>237</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492</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493</v>
      </c>
      <c r="AM44" s="1737"/>
      <c r="AN44" s="1737" t="str">
        <f>IF(T44="","",T44)</f>
        <v>Наименование системы теплоснабжения </v>
      </c>
      <c r="AO44" s="1737"/>
      <c r="AP44" s="1737"/>
      <c r="AQ44" s="1744">
        <v>23</v>
      </c>
    </row>
    <row customHeight="1" ht="22.049999999999997">
      <c r="A45" s="1380" t="s">
        <v>235</v>
      </c>
      <c r="B45" s="1380" t="s">
        <v>236</v>
      </c>
      <c r="C45" s="1380" t="s">
        <v>237</v>
      </c>
      <c r="D45" s="1380" t="s">
        <v>238</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494</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495</v>
      </c>
      <c r="AM45" s="1737"/>
      <c r="AN45" s="1737" t="str">
        <f>IF(T45="","",T45)</f>
        <v>Источник тепловой энергии  </v>
      </c>
      <c r="AO45" s="1737"/>
      <c r="AP45" s="1737"/>
      <c r="AQ45" s="1744">
        <v>21</v>
      </c>
    </row>
    <row s="5468" customFormat="1" customHeight="1" ht="0">
      <c r="A46" s="1488" t="s">
        <v>235</v>
      </c>
      <c r="B46" s="1488" t="s">
        <v>236</v>
      </c>
      <c r="C46" s="1488" t="s">
        <v>237</v>
      </c>
      <c r="D46" s="1488" t="s">
        <v>238</v>
      </c>
      <c r="E46" s="2403"/>
      <c r="F46" s="2403"/>
      <c r="G46" s="2403"/>
      <c r="H46" s="2403"/>
      <c r="I46" s="2240" t="str">
        <f>S45&amp;".1"</f>
        <v>....1</v>
      </c>
      <c r="J46" s="1488"/>
      <c r="K46" s="1488"/>
      <c r="L46" s="1494" t="s">
        <v>496</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68" customFormat="1" customHeight="1" ht="0">
      <c r="A47" s="1488" t="s">
        <v>235</v>
      </c>
      <c r="B47" s="1488" t="s">
        <v>236</v>
      </c>
      <c r="C47" s="1488" t="s">
        <v>237</v>
      </c>
      <c r="D47" s="1488" t="s">
        <v>238</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235</v>
      </c>
      <c r="B48" s="1380" t="s">
        <v>236</v>
      </c>
      <c r="C48" s="1380" t="s">
        <v>237</v>
      </c>
      <c r="D48" s="1380" t="s">
        <v>238</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28</v>
      </c>
      <c r="AD48" s="864"/>
      <c r="AE48" s="1370"/>
      <c r="AF48" s="2068"/>
      <c r="AG48" s="2055" t="s">
        <v>66</v>
      </c>
      <c r="AH48" s="2068"/>
      <c r="AI48" s="2055" t="s">
        <v>66</v>
      </c>
      <c r="AJ48" s="1461"/>
      <c r="AK48" s="2366" t="s">
        <v>570</v>
      </c>
      <c r="AL48" s="1749">
        <f>STRCHECKDATE(#REF!)</f>
      </c>
      <c r="AM48" s="1737"/>
      <c r="AN48" s="1737" t="str">
        <f>IF(T48="","",T48)</f>
        <v/>
      </c>
      <c r="AO48" s="1737"/>
      <c r="AP48" s="1737"/>
      <c r="AQ48" s="1744">
        <v>21</v>
      </c>
    </row>
    <row customHeight="1" ht="11.549999999999999">
      <c r="A49" s="1380" t="s">
        <v>235</v>
      </c>
      <c r="B49" s="1380" t="s">
        <v>236</v>
      </c>
      <c r="C49" s="1380" t="s">
        <v>237</v>
      </c>
      <c r="D49" s="1380" t="s">
        <v>238</v>
      </c>
      <c r="E49" s="2403"/>
      <c r="F49" s="2403"/>
      <c r="G49" s="2403"/>
      <c r="H49" s="2403"/>
      <c r="I49" s="2214"/>
      <c r="J49" s="2240"/>
      <c r="K49" s="1380"/>
      <c r="L49" s="1423"/>
      <c r="P49" s="2370"/>
      <c r="Q49" s="2370"/>
      <c r="R49" s="469"/>
      <c r="S49" s="1391"/>
      <c r="T49" s="400" t="s">
        <v>558</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68" customFormat="1" customHeight="1" ht="1.05">
      <c r="A50" s="1488" t="s">
        <v>235</v>
      </c>
      <c r="B50" s="1488" t="s">
        <v>236</v>
      </c>
      <c r="C50" s="1488" t="s">
        <v>237</v>
      </c>
      <c r="D50" s="1488" t="s">
        <v>238</v>
      </c>
      <c r="E50" s="2403"/>
      <c r="F50" s="2403"/>
      <c r="G50" s="2403"/>
      <c r="H50" s="2403"/>
      <c r="I50" s="2240"/>
      <c r="J50" s="1488"/>
      <c r="K50" s="1488"/>
      <c r="L50" s="1494"/>
      <c r="M50" s="1359"/>
      <c r="N50" s="1359"/>
      <c r="O50" s="1359"/>
      <c r="P50" s="2370"/>
      <c r="Q50" s="2067"/>
      <c r="R50" s="469"/>
      <c r="S50" s="1499"/>
      <c r="T50" s="1500" t="s">
        <v>505</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74" customFormat="1" customHeight="1" ht="1.05">
      <c r="A51" s="1488" t="s">
        <v>235</v>
      </c>
      <c r="B51" s="1488" t="s">
        <v>236</v>
      </c>
      <c r="C51" s="1488" t="s">
        <v>237</v>
      </c>
      <c r="D51" s="1488" t="s">
        <v>238</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68" customFormat="1" customHeight="1" ht="1.05">
      <c r="A52" s="1488" t="s">
        <v>235</v>
      </c>
      <c r="B52" s="1488" t="s">
        <v>236</v>
      </c>
      <c r="C52" s="1488" t="s">
        <v>237</v>
      </c>
      <c r="D52" s="1487"/>
      <c r="E52" s="2403"/>
      <c r="F52" s="2403"/>
      <c r="G52" s="2402"/>
      <c r="H52" s="1487"/>
      <c r="I52" s="1487"/>
      <c r="J52" s="1487"/>
      <c r="K52" s="1487"/>
      <c r="L52" s="1490"/>
      <c r="M52" s="1491"/>
      <c r="N52" s="1491"/>
      <c r="O52" s="464"/>
      <c r="P52" s="1429"/>
      <c r="Q52" s="1430"/>
      <c r="R52" s="1429"/>
      <c r="S52" s="1435"/>
      <c r="T52" s="1438" t="s">
        <v>507</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68" customFormat="1" customHeight="1" ht="1.05">
      <c r="A53" s="1488" t="s">
        <v>235</v>
      </c>
      <c r="B53" s="1488" t="s">
        <v>236</v>
      </c>
      <c r="C53" s="1487"/>
      <c r="D53" s="1487"/>
      <c r="E53" s="2403"/>
      <c r="F53" s="2402"/>
      <c r="G53" s="1487"/>
      <c r="H53" s="1487"/>
      <c r="I53" s="1487"/>
      <c r="J53" s="1487"/>
      <c r="K53" s="1487"/>
      <c r="L53" s="1490"/>
      <c r="M53" s="1492"/>
      <c r="N53" s="1492"/>
      <c r="O53" s="464"/>
      <c r="P53" s="1429"/>
      <c r="Q53" s="1430"/>
      <c r="R53" s="1429"/>
      <c r="S53" s="1435"/>
      <c r="T53" s="1438" t="s">
        <v>312</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68" customFormat="1" customHeight="1" ht="1.05">
      <c r="A54" s="1488" t="s">
        <v>235</v>
      </c>
      <c r="B54" s="1488"/>
      <c r="C54" s="1488"/>
      <c r="D54" s="1488"/>
      <c r="E54" s="2403"/>
      <c r="F54" s="1488"/>
      <c r="G54" s="1488"/>
      <c r="H54" s="1488"/>
      <c r="I54" s="1488"/>
      <c r="J54" s="1488"/>
      <c r="K54" s="1488"/>
      <c r="L54" s="1494"/>
      <c r="M54" s="1492"/>
      <c r="N54" s="1492"/>
      <c r="O54" s="464"/>
      <c r="P54" s="493"/>
      <c r="Q54" s="1457"/>
      <c r="R54" s="493"/>
      <c r="S54" s="1435"/>
      <c r="T54" s="1438" t="s">
        <v>360</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68" customFormat="1" customHeight="1" ht="1.05">
      <c r="A55" s="1488" t="s">
        <v>235</v>
      </c>
      <c r="B55" s="1488"/>
      <c r="C55" s="1488"/>
      <c r="D55" s="1488"/>
      <c r="E55" s="2402"/>
      <c r="F55" s="1488"/>
      <c r="G55" s="1488"/>
      <c r="H55" s="1488"/>
      <c r="I55" s="1488"/>
      <c r="J55" s="1488"/>
      <c r="K55" s="1488"/>
      <c r="L55" s="1494"/>
      <c r="M55" s="1492"/>
      <c r="N55" s="1492"/>
      <c r="O55" s="464"/>
      <c r="P55" s="493"/>
      <c r="Q55" s="1457"/>
      <c r="R55" s="493"/>
      <c r="S55" s="1435"/>
      <c r="T55" s="1438" t="s">
        <v>360</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68"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361</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AB14C-7D08-FE03-04BD-21170F72565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67" width="11.57421875" hidden="1" customWidth="1"/>
    <col min="2" max="2" style="5467" width="11.00390625" hidden="1" customWidth="1"/>
    <col min="3" max="3" style="5467" width="10.57421875" hidden="1"/>
    <col min="4" max="4" style="5467" width="12.8515625" hidden="1" customWidth="1"/>
    <col min="5" max="5" style="5467" width="10.00390625" hidden="1" customWidth="1"/>
    <col min="6" max="6" style="5467" width="8.7109375" hidden="1" customWidth="1"/>
    <col min="7" max="7" style="5467" width="7.57421875" hidden="1" customWidth="1"/>
    <col min="8" max="8" style="5467" width="11.421875" hidden="1" customWidth="1"/>
    <col min="9" max="9" style="5467" width="12.00390625" hidden="1" customWidth="1"/>
    <col min="10" max="10" style="5467" width="9.8515625" hidden="1" customWidth="1"/>
    <col min="11" max="11" style="5467" width="11.421875" hidden="1" customWidth="1"/>
    <col min="12" max="12" style="6316" width="19.140625" hidden="1" customWidth="1"/>
    <col min="13" max="14" style="6317" width="12.28125" hidden="1" customWidth="1"/>
    <col min="15" max="15" style="6317" width="23.421875" hidden="1" customWidth="1"/>
    <col min="16" max="16" style="6317" width="3.7109375" hidden="1" customWidth="1"/>
    <col min="17" max="17" style="6502" width="3.7109375" hidden="1" customWidth="1"/>
    <col min="18" max="18" style="6319" width="3.00390625" customWidth="1"/>
    <col min="19" max="19" style="6320" width="12.00390625" customWidth="1"/>
    <col min="20" max="20" style="5387" width="31.00390625" customWidth="1"/>
    <col min="21" max="21" style="5387" width="0.140625" customWidth="1"/>
    <col min="22" max="25" style="5387" width="21.7109375" hidden="1" customWidth="1"/>
    <col min="26" max="26" style="5387" width="11.7109375" hidden="1" customWidth="1"/>
    <col min="27" max="27" style="5387" width="3.7109375" hidden="1" customWidth="1"/>
    <col min="28" max="28" style="5387" width="11.7109375" hidden="1" customWidth="1"/>
    <col min="29" max="29" style="5387" width="8.57421875" hidden="1" customWidth="1"/>
    <col min="30" max="30" style="5387" width="3.7109375" customWidth="1"/>
    <col min="31" max="32" style="5387" width="3.00390625" customWidth="1"/>
    <col min="33" max="33" style="5387" width="24.00390625" customWidth="1"/>
    <col min="34" max="34" style="5387" width="3.7109375" customWidth="1"/>
    <col min="35" max="36" style="5387" width="3.00390625" customWidth="1"/>
    <col min="37" max="37" style="5387" width="24.00390625" customWidth="1"/>
    <col min="38" max="38" style="5387" width="3.7109375" customWidth="1"/>
    <col min="39" max="40" style="5387" width="3.00390625" customWidth="1"/>
    <col min="41" max="41" style="5387" width="18.00390625" customWidth="1"/>
    <col min="42" max="42" style="5387" width="3.7109375" customWidth="1"/>
    <col min="43" max="44" style="5387" width="3.00390625" customWidth="1"/>
    <col min="45" max="45" style="5387" width="18.00390625" customWidth="1"/>
    <col min="46" max="49" style="5387" width="21.00390625" customWidth="1"/>
    <col min="50" max="50" style="5387" width="11.00390625" customWidth="1"/>
    <col min="51" max="51" style="5387" width="3.7109375" customWidth="1"/>
    <col min="52" max="52" style="5387" width="11.00390625" customWidth="1"/>
    <col min="53" max="53" style="5387" width="8.57421875" hidden="1" customWidth="1"/>
    <col min="54" max="54" style="5387" width="4.00390625" customWidth="1"/>
    <col min="55" max="55" style="5387" width="115.00390625" customWidth="1"/>
    <col min="56" max="60" style="5468" width="10.00390625" customWidth="1"/>
    <col min="61" max="61" style="538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155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490</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491</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571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572</v>
      </c>
      <c r="BE4" s="613"/>
      <c r="BF4" s="613" t="str">
        <f>IF(T4="","",T4)</f>
        <v>Наименование централизованной системы холодного водоснабжения</v>
      </c>
      <c r="BG4" s="613"/>
      <c r="BH4" s="613"/>
      <c r="BI4" s="1268">
        <v>0</v>
      </c>
    </row>
    <row s="546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495</v>
      </c>
      <c r="BE5" s="613"/>
      <c r="BF5" s="613" t="str">
        <f>IF(T5="","",T5)</f>
        <v/>
      </c>
      <c r="BG5" s="613"/>
      <c r="BH5" s="613"/>
      <c r="BI5" s="624">
        <v>0</v>
      </c>
    </row>
    <row s="5468" customFormat="1" customHeight="1" ht="14.25" hidden="1">
      <c r="A6" s="1456"/>
      <c r="B6" s="1456"/>
      <c r="C6" s="1456"/>
      <c r="D6" s="1456"/>
      <c r="E6" s="2372"/>
      <c r="F6" s="2372"/>
      <c r="G6" s="2372"/>
      <c r="H6" s="2372"/>
      <c r="I6" s="2369" t="str">
        <f>S5&amp;".1"</f>
        <v>.1</v>
      </c>
      <c r="J6" s="1456"/>
      <c r="K6" s="1456"/>
      <c r="L6" s="1459" t="s">
        <v>496</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28</v>
      </c>
      <c r="AL8" s="2220" t="s">
        <v>66</v>
      </c>
      <c r="AM8" s="2305"/>
      <c r="AN8" s="2318">
        <v>1</v>
      </c>
      <c r="AO8" s="2470"/>
      <c r="AP8" s="2471" t="s">
        <v>66</v>
      </c>
      <c r="AQ8" s="424"/>
      <c r="AR8" s="1576">
        <v>1</v>
      </c>
      <c r="AS8" s="1579" t="s">
        <v>28</v>
      </c>
      <c r="AT8" s="864"/>
      <c r="AU8" s="1370"/>
      <c r="AV8" s="864"/>
      <c r="AW8" s="1370"/>
      <c r="AX8" s="1847"/>
      <c r="AY8" s="1572" t="s">
        <v>66</v>
      </c>
      <c r="AZ8" s="1847"/>
      <c r="BA8" s="1572" t="s">
        <v>66</v>
      </c>
      <c r="BB8" s="1461"/>
      <c r="BC8" s="2366" t="s">
        <v>591</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592</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593</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594</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595</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558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8"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8"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8"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312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360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508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73" customFormat="1" customHeight="1" ht="14.25" hidden="1">
      <c r="M24" s="1621"/>
      <c r="N24" s="1621"/>
      <c r="O24" s="1622" t="s">
        <v>509</v>
      </c>
      <c r="P24" s="1621"/>
      <c r="Q24" s="1623"/>
      <c r="R24" s="1623"/>
      <c r="AA24" s="1620" t="s">
        <v>511</v>
      </c>
      <c r="AC24" s="1620" t="s">
        <v>512</v>
      </c>
      <c r="AD24" s="1620" t="s">
        <v>559</v>
      </c>
      <c r="AH24" s="1620" t="s">
        <v>559</v>
      </c>
      <c r="AK24" s="1620" t="s">
        <v>596</v>
      </c>
      <c r="AL24" s="1620" t="s">
        <v>559</v>
      </c>
      <c r="AP24" s="1620" t="s">
        <v>559</v>
      </c>
      <c r="AY24" s="1620" t="s">
        <v>511</v>
      </c>
      <c r="BA24" s="1620" t="s">
        <v>512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0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0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514</v>
      </c>
      <c r="T32" s="2363"/>
      <c r="U32" s="1485"/>
      <c r="V32" s="2377" t="str">
        <f>IF(TITLE_DATE_PR_CHANGE="",IF(TITLE_DATE_PR="","",TITLE_DATE_PR),TITLE_DATE_PR_CHANGE)</f>
        <v>45408.605891203704</v>
      </c>
      <c r="W32" s="2377"/>
      <c r="X32" s="2377"/>
      <c r="Y32" s="2377"/>
      <c r="Z32" s="2377"/>
      <c r="AA32" s="2377"/>
      <c r="AB32" s="2377"/>
      <c r="AC32" s="439"/>
      <c r="AD32" s="2377" t="str">
        <f>IF(TITLE_DATE_PR_CHANGE="",IF(TITLE_DATE_PR="","",TITLE_DATE_PR),TITLE_DATE_PR_CHANGE)</f>
        <v>45408.605891203704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0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515</v>
      </c>
      <c r="T33" s="2363"/>
      <c r="U33" s="1485"/>
      <c r="V33" s="2364" t="str">
        <f>IF(TITLE_NUMBER_PR_CHANGE="",IF(TITLE_NUMBER_PR="","",TITLE_NUMBER_PR),TITLE_NUMBER_PR_CHANGE)</f>
        <v>27-2139</v>
      </c>
      <c r="W33" s="2364"/>
      <c r="X33" s="2364"/>
      <c r="Y33" s="2364"/>
      <c r="Z33" s="2364"/>
      <c r="AA33" s="2364"/>
      <c r="AB33" s="2364"/>
      <c r="AC33" s="439"/>
      <c r="AD33" s="2364" t="str">
        <f>IF(TITLE_NUMBER_PR_CHANGE="",IF(TITLE_NUMBER_PR="","",TITLE_NUMBER_PR),TITLE_NUMBER_PR_CHANGE)</f>
        <v>27-2139</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0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04" customFormat="1" customHeight="1" ht="18.75">
      <c r="A36" s="1481"/>
      <c r="B36" s="1481"/>
      <c r="C36" s="1481"/>
      <c r="D36" s="1481"/>
      <c r="E36" s="1481"/>
      <c r="F36" s="1481"/>
      <c r="G36" s="1481"/>
      <c r="H36" s="1481"/>
      <c r="I36" s="1481"/>
      <c r="J36" s="1481"/>
      <c r="K36" s="1481"/>
      <c r="L36" s="1482"/>
      <c r="M36" s="1481"/>
      <c r="N36" s="1481"/>
      <c r="O36" s="1481"/>
      <c r="P36" s="1481"/>
      <c r="Q36" s="1481"/>
      <c r="S36" s="2363" t="s">
        <v>514</v>
      </c>
      <c r="T36" s="2363"/>
      <c r="U36" s="1485"/>
      <c r="V36" s="2377" t="str">
        <f>IF(TITLE_DATE_PR_CHANGE="",IF(TITLE_DATE_PR="","",TITLE_DATE_PR),TITLE_DATE_PR_CHANGE)</f>
        <v>45408.605891203704</v>
      </c>
      <c r="W36" s="2377"/>
      <c r="X36" s="2377"/>
      <c r="Y36" s="2377"/>
      <c r="Z36" s="2377"/>
      <c r="AA36" s="2377"/>
      <c r="AB36" s="2377"/>
      <c r="AC36" s="439"/>
      <c r="AD36" s="2377" t="str">
        <f>IF(TITLE_DATE_PR_CHANGE="",IF(TITLE_DATE_PR="","",TITLE_DATE_PR),TITLE_DATE_PR_CHANGE)</f>
        <v>45408.605891203704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04" customFormat="1" customHeight="1" ht="18.75">
      <c r="A37" s="1481"/>
      <c r="B37" s="1481"/>
      <c r="C37" s="1481"/>
      <c r="D37" s="1481"/>
      <c r="E37" s="1481"/>
      <c r="F37" s="1481"/>
      <c r="G37" s="1481"/>
      <c r="H37" s="1481"/>
      <c r="I37" s="1481"/>
      <c r="J37" s="1481"/>
      <c r="K37" s="1481"/>
      <c r="L37" s="1482"/>
      <c r="M37" s="1481"/>
      <c r="N37" s="1481"/>
      <c r="O37" s="1481"/>
      <c r="P37" s="1481"/>
      <c r="Q37" s="1481"/>
      <c r="S37" s="2363" t="s">
        <v>515</v>
      </c>
      <c r="T37" s="2363"/>
      <c r="U37" s="1485"/>
      <c r="V37" s="2364" t="str">
        <f>IF(TITLE_NUMBER_PR_CHANGE="",IF(TITLE_NUMBER_PR="","",TITLE_NUMBER_PR),TITLE_NUMBER_PR_CHANGE)</f>
        <v>27-2139</v>
      </c>
      <c r="W37" s="2364"/>
      <c r="X37" s="2364"/>
      <c r="Y37" s="2364"/>
      <c r="Z37" s="2364"/>
      <c r="AA37" s="2364"/>
      <c r="AB37" s="2364"/>
      <c r="AC37" s="439"/>
      <c r="AD37" s="2364" t="str">
        <f>IF(TITLE_NUMBER_PR_CHANGE="",IF(TITLE_NUMBER_PR="","",TITLE_NUMBER_PR),TITLE_NUMBER_PR_CHANGE)</f>
        <v>27-2139</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0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518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518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393</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394</v>
      </c>
      <c r="BI40" s="1268">
        <v>14</v>
      </c>
    </row>
    <row customHeight="1" ht="14.699999999999998">
      <c r="Q41" s="404"/>
      <c r="R41" s="489"/>
      <c r="S41" s="2386" t="s">
        <v>88</v>
      </c>
      <c r="T41" s="2322" t="s">
        <v>597</v>
      </c>
      <c r="U41" s="414"/>
      <c r="V41" s="2387" t="s">
        <v>520</v>
      </c>
      <c r="W41" s="2388"/>
      <c r="X41" s="2388"/>
      <c r="Y41" s="2388"/>
      <c r="Z41" s="2388"/>
      <c r="AA41" s="2388"/>
      <c r="AB41" s="2389"/>
      <c r="AC41" s="2390" t="s">
        <v>521</v>
      </c>
      <c r="AD41" s="2441" t="s">
        <v>598</v>
      </c>
      <c r="AE41" s="2404"/>
      <c r="AF41" s="2404"/>
      <c r="AG41" s="2442"/>
      <c r="AH41" s="2441" t="s">
        <v>599</v>
      </c>
      <c r="AI41" s="2404"/>
      <c r="AJ41" s="2404"/>
      <c r="AK41" s="2442"/>
      <c r="AL41" s="2441" t="s">
        <v>600</v>
      </c>
      <c r="AM41" s="2404"/>
      <c r="AN41" s="2404"/>
      <c r="AO41" s="2442"/>
      <c r="AP41" s="2441" t="s">
        <v>601</v>
      </c>
      <c r="AQ41" s="2404"/>
      <c r="AR41" s="2404"/>
      <c r="AS41" s="2442"/>
      <c r="AT41" s="2387" t="s">
        <v>520</v>
      </c>
      <c r="AU41" s="2388"/>
      <c r="AV41" s="2388"/>
      <c r="AW41" s="2388"/>
      <c r="AX41" s="2388"/>
      <c r="AY41" s="2388"/>
      <c r="AZ41" s="2389"/>
      <c r="BA41" s="2390" t="s">
        <v>521</v>
      </c>
      <c r="BB41" s="2393" t="s">
        <v>523</v>
      </c>
      <c r="BC41" s="2240"/>
      <c r="BI41" s="1268">
        <v>14</v>
      </c>
    </row>
    <row customHeight="1" ht="35.699999999999996">
      <c r="Q42" s="404"/>
      <c r="R42" s="489"/>
      <c r="S42" s="2386"/>
      <c r="T42" s="2322"/>
      <c r="U42" s="1144"/>
      <c r="V42" s="2305" t="s">
        <v>602</v>
      </c>
      <c r="W42" s="2306"/>
      <c r="X42" s="2305" t="s">
        <v>603</v>
      </c>
      <c r="Y42" s="2306"/>
      <c r="Z42" s="2407" t="s">
        <v>604</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602</v>
      </c>
      <c r="AU42" s="2306"/>
      <c r="AV42" s="2305" t="s">
        <v>603</v>
      </c>
      <c r="AW42" s="2306"/>
      <c r="AX42" s="2407" t="s">
        <v>604</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167</v>
      </c>
      <c r="C44" s="1483" t="s">
        <v>168</v>
      </c>
      <c r="D44" s="1483" t="s">
        <v>169</v>
      </c>
      <c r="E44" s="1477" t="s">
        <v>528</v>
      </c>
      <c r="F44" s="1477" t="s">
        <v>529</v>
      </c>
      <c r="G44" s="1477" t="s">
        <v>530</v>
      </c>
      <c r="H44" s="1477" t="s">
        <v>531</v>
      </c>
      <c r="I44" s="1477" t="s">
        <v>532</v>
      </c>
      <c r="J44" s="1477" t="s">
        <v>533</v>
      </c>
      <c r="K44" s="1477" t="s">
        <v>534</v>
      </c>
      <c r="L44" s="1477" t="s">
        <v>509</v>
      </c>
      <c r="Q44" s="404"/>
      <c r="R44" s="489"/>
      <c r="S44" s="2386"/>
      <c r="T44" s="2322"/>
      <c r="U44" s="415"/>
      <c r="V44" s="1561" t="s">
        <v>568</v>
      </c>
      <c r="W44" s="1561" t="s">
        <v>569</v>
      </c>
      <c r="X44" s="1561" t="s">
        <v>568</v>
      </c>
      <c r="Y44" s="1561" t="s">
        <v>569</v>
      </c>
      <c r="Z44" s="1568" t="s">
        <v>537</v>
      </c>
      <c r="AA44" s="2383" t="s">
        <v>538</v>
      </c>
      <c r="AB44" s="2384"/>
      <c r="AC44" s="2392"/>
      <c r="AD44" s="2446"/>
      <c r="AE44" s="2447"/>
      <c r="AF44" s="2447"/>
      <c r="AG44" s="2448"/>
      <c r="AH44" s="2446"/>
      <c r="AI44" s="2447"/>
      <c r="AJ44" s="2447"/>
      <c r="AK44" s="2448"/>
      <c r="AL44" s="2446"/>
      <c r="AM44" s="2447"/>
      <c r="AN44" s="2447"/>
      <c r="AO44" s="2448"/>
      <c r="AP44" s="2446"/>
      <c r="AQ44" s="2447"/>
      <c r="AR44" s="2447"/>
      <c r="AS44" s="2448"/>
      <c r="AT44" s="1561" t="s">
        <v>568</v>
      </c>
      <c r="AU44" s="1561" t="s">
        <v>569</v>
      </c>
      <c r="AV44" s="1561" t="s">
        <v>568</v>
      </c>
      <c r="AW44" s="1561" t="s">
        <v>569</v>
      </c>
      <c r="AX44" s="1568" t="s">
        <v>537</v>
      </c>
      <c r="AY44" s="2383" t="s">
        <v>538</v>
      </c>
      <c r="AZ44" s="2384"/>
      <c r="BA44" s="2392"/>
      <c r="BB44" s="2395"/>
      <c r="BC44" s="2240"/>
      <c r="BI44" s="1268">
        <v>14</v>
      </c>
    </row>
    <row s="6074"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136</v>
      </c>
      <c r="T45" s="1368" t="s">
        <v>103</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275</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155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275</v>
      </c>
      <c r="B47" s="1476" t="s">
        <v>276</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490</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491</v>
      </c>
      <c r="BE47" s="613"/>
      <c r="BF47" s="613" t="str">
        <f>IF(T47="","",T47)</f>
        <v>Территория действия тарифа</v>
      </c>
      <c r="BG47" s="613"/>
      <c r="BH47" s="613"/>
      <c r="BI47" s="1268">
        <v>21</v>
      </c>
    </row>
    <row customHeight="1" ht="43.050000000000004">
      <c r="A48" s="1476" t="s">
        <v>275</v>
      </c>
      <c r="B48" s="1476" t="s">
        <v>276</v>
      </c>
      <c r="C48" s="1476" t="s">
        <v>277</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571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572</v>
      </c>
      <c r="BE48" s="613"/>
      <c r="BF48" s="613" t="str">
        <f>IF(T48="","",T48)</f>
        <v>Наименование централизованной системы холодного водоснабжения</v>
      </c>
      <c r="BG48" s="613"/>
      <c r="BH48" s="613"/>
      <c r="BI48" s="1268">
        <v>41</v>
      </c>
    </row>
    <row s="5468" customFormat="1" customHeight="1" ht="0">
      <c r="A49" s="1456" t="s">
        <v>275</v>
      </c>
      <c r="B49" s="1456" t="s">
        <v>276</v>
      </c>
      <c r="C49" s="1456" t="s">
        <v>277</v>
      </c>
      <c r="D49" s="1456" t="s">
        <v>605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495</v>
      </c>
      <c r="BE49" s="613"/>
      <c r="BF49" s="613" t="str">
        <f>IF(T49="","",T49)</f>
        <v/>
      </c>
      <c r="BG49" s="613"/>
      <c r="BH49" s="613"/>
      <c r="BI49" s="624">
        <v>0</v>
      </c>
    </row>
    <row s="5468" customFormat="1" customHeight="1" ht="0">
      <c r="A50" s="1456" t="s">
        <v>275</v>
      </c>
      <c r="B50" s="1456" t="s">
        <v>276</v>
      </c>
      <c r="C50" s="1456" t="s">
        <v>277</v>
      </c>
      <c r="D50" s="1456" t="s">
        <v>605</v>
      </c>
      <c r="E50" s="2372"/>
      <c r="F50" s="2372"/>
      <c r="G50" s="2372"/>
      <c r="H50" s="2372"/>
      <c r="I50" s="2369" t="str">
        <f>S49&amp;".1"</f>
        <v>.1</v>
      </c>
      <c r="J50" s="1456"/>
      <c r="K50" s="1456"/>
      <c r="L50" s="1459" t="s">
        <v>496</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8" customFormat="1" customHeight="1" ht="0">
      <c r="A51" s="1456" t="s">
        <v>275</v>
      </c>
      <c r="B51" s="1456" t="s">
        <v>276</v>
      </c>
      <c r="C51" s="1456" t="s">
        <v>277</v>
      </c>
      <c r="D51" s="1456" t="s">
        <v>605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275</v>
      </c>
      <c r="B52" s="1476" t="s">
        <v>276</v>
      </c>
      <c r="C52" s="1476" t="s">
        <v>277</v>
      </c>
      <c r="D52" s="1476" t="s">
        <v>605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76">
        <v>1</v>
      </c>
      <c r="AS52" s="1579" t="s">
        <v>28</v>
      </c>
      <c r="AT52" s="864"/>
      <c r="AU52" s="1370"/>
      <c r="AV52" s="864"/>
      <c r="AW52" s="1370"/>
      <c r="AX52" s="1847"/>
      <c r="AY52" s="1572" t="s">
        <v>66</v>
      </c>
      <c r="AZ52" s="1847"/>
      <c r="BA52" s="1572" t="s">
        <v>66</v>
      </c>
      <c r="BB52" s="1461"/>
      <c r="BC52" s="2366" t="s">
        <v>591</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592</v>
      </c>
      <c r="AT53" s="1506"/>
      <c r="AU53" s="1609"/>
      <c r="AV53" s="1506"/>
      <c r="AW53" s="1609"/>
      <c r="AX53" s="1506"/>
      <c r="AY53" s="1506"/>
      <c r="AZ53" s="1506"/>
      <c r="BA53" s="1506"/>
      <c r="BB53" s="1510"/>
      <c r="BC53" s="2367"/>
      <c r="BE53" s="613"/>
      <c r="BF53" s="613"/>
      <c r="BG53" s="613"/>
      <c r="BH53" s="613"/>
      <c r="BI53" s="1268">
        <v>11</v>
      </c>
    </row>
    <row customHeight="1" ht="11.549999999999999">
      <c r="A54" s="1476" t="s">
        <v>275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593</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594</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275</v>
      </c>
      <c r="B56" s="1476" t="s">
        <v>276</v>
      </c>
      <c r="C56" s="1476" t="s">
        <v>277</v>
      </c>
      <c r="D56" s="1476" t="s">
        <v>605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595</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275</v>
      </c>
      <c r="B57" s="1476" t="s">
        <v>276</v>
      </c>
      <c r="C57" s="1476" t="s">
        <v>277</v>
      </c>
      <c r="D57" s="1476" t="s">
        <v>605</v>
      </c>
      <c r="E57" s="2372"/>
      <c r="F57" s="2372"/>
      <c r="G57" s="2372"/>
      <c r="H57" s="2372"/>
      <c r="I57" s="2399"/>
      <c r="J57" s="2369"/>
      <c r="K57" s="1476"/>
      <c r="L57" s="1477"/>
      <c r="P57" s="2370"/>
      <c r="Q57" s="2370"/>
      <c r="R57" s="469"/>
      <c r="S57" s="1391"/>
      <c r="T57" s="400" t="s">
        <v>558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8" customFormat="1" customHeight="1" ht="0">
      <c r="A58" s="1456" t="s">
        <v>275</v>
      </c>
      <c r="B58" s="1456" t="s">
        <v>276</v>
      </c>
      <c r="C58" s="1456" t="s">
        <v>277</v>
      </c>
      <c r="D58" s="1456" t="s">
        <v>605</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8" customFormat="1" customHeight="1" ht="0">
      <c r="A59" s="1456" t="s">
        <v>275</v>
      </c>
      <c r="B59" s="1456" t="s">
        <v>276</v>
      </c>
      <c r="C59" s="1456" t="s">
        <v>277</v>
      </c>
      <c r="D59" s="1456" t="s">
        <v>605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8" customFormat="1" customHeight="1" ht="0">
      <c r="A60" s="1456" t="s">
        <v>275</v>
      </c>
      <c r="B60" s="1456" t="s">
        <v>276</v>
      </c>
      <c r="C60" s="1456" t="s">
        <v>277</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8" customFormat="1" customHeight="1" ht="0">
      <c r="A61" s="1456" t="s">
        <v>275</v>
      </c>
      <c r="B61" s="1456" t="s">
        <v>276</v>
      </c>
      <c r="C61" s="1427"/>
      <c r="D61" s="1427"/>
      <c r="E61" s="2372"/>
      <c r="F61" s="2371"/>
      <c r="G61" s="1427"/>
      <c r="H61" s="1427"/>
      <c r="I61" s="1427"/>
      <c r="J61" s="1427"/>
      <c r="K61" s="1427"/>
      <c r="L61" s="1577"/>
      <c r="M61" s="1434"/>
      <c r="N61" s="1434"/>
      <c r="P61" s="1429"/>
      <c r="Q61" s="1430"/>
      <c r="R61" s="1429"/>
      <c r="S61" s="1435"/>
      <c r="T61" s="1438" t="s">
        <v>312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8" customFormat="1" customHeight="1" ht="0">
      <c r="A62" s="1456" t="s">
        <v>275</v>
      </c>
      <c r="B62" s="1456"/>
      <c r="C62" s="1456"/>
      <c r="D62" s="1456"/>
      <c r="E62" s="2371"/>
      <c r="F62" s="1456"/>
      <c r="G62" s="1456"/>
      <c r="H62" s="1456"/>
      <c r="I62" s="1456"/>
      <c r="J62" s="1456"/>
      <c r="K62" s="1456"/>
      <c r="L62" s="1459"/>
      <c r="M62" s="1434"/>
      <c r="N62" s="1434"/>
      <c r="O62" s="631"/>
      <c r="P62" s="493"/>
      <c r="Q62" s="1457"/>
      <c r="R62" s="493"/>
      <c r="S62" s="1435"/>
      <c r="T62" s="1438" t="s">
        <v>360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8"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361</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EB9B6-1174-899B-FC1B-9BD99A2A959F}" mc:Ignorable="x14ac xr xr2 xr3">
  <sheetPr>
    <tabColor theme="6" tint="0.4"/>
  </sheetPr>
  <dimension ref="A1:BL210"/>
  <sheetViews>
    <sheetView topLeftCell="A1" showGridLines="0" zoomScale="90" workbookViewId="0">
      <selection activeCell="AO184" sqref="AO184"/>
    </sheetView>
  </sheetViews>
  <sheetFormatPr defaultColWidth="10.57421875" customHeight="1" defaultRowHeight="14.25"/>
  <cols>
    <col min="1" max="1" style="5467" width="10.57421875" hidden="1"/>
    <col min="2" max="2" style="5467" width="11.00390625" hidden="1" customWidth="1"/>
    <col min="3" max="3" style="5467" width="10.57421875" hidden="1"/>
    <col min="4" max="4" style="5467" width="11.8515625" hidden="1" customWidth="1"/>
    <col min="5" max="5" style="5467" width="10.00390625" hidden="1" customWidth="1"/>
    <col min="6" max="6" style="5467" width="8.7109375" hidden="1" customWidth="1"/>
    <col min="7" max="7" style="5467" width="7.57421875" hidden="1" customWidth="1"/>
    <col min="8" max="8" style="5467" width="11.421875" hidden="1" customWidth="1"/>
    <col min="9" max="9" style="5467" width="14.140625" hidden="1" customWidth="1"/>
    <col min="10" max="10" style="5467" width="9.8515625" hidden="1" customWidth="1"/>
    <col min="11" max="11" style="5467" width="14.7109375" hidden="1" customWidth="1"/>
    <col min="12" max="12" style="6316" width="19.140625" hidden="1" customWidth="1"/>
    <col min="13" max="14" style="6317" width="12.28125" hidden="1" customWidth="1"/>
    <col min="15" max="15" style="6317" width="23.421875" hidden="1" customWidth="1"/>
    <col min="16" max="16" style="6318" width="3.00390625" customWidth="1"/>
    <col min="17" max="18" style="6319" width="3.00390625" customWidth="1"/>
    <col min="19" max="19" style="6320" width="12.00390625" customWidth="1"/>
    <col min="20" max="20" style="5387" width="35.00390625" customWidth="1"/>
    <col min="21" max="21" style="5387" width="0.140625" customWidth="1"/>
    <col min="22" max="24" style="5387" width="24.7109375" hidden="1" customWidth="1"/>
    <col min="25" max="25" style="5387" width="11.7109375" hidden="1" customWidth="1"/>
    <col min="26" max="26" style="5387" width="3.7109375" hidden="1" customWidth="1"/>
    <col min="27" max="27" style="5387" width="11.7109375" hidden="1" customWidth="1"/>
    <col min="28" max="28" style="5387" width="8.57421875" hidden="1" customWidth="1"/>
    <col min="29" max="29" style="5387" width="12.8515625" customWidth="1"/>
    <col min="30" max="31" style="5387" width="24.00390625" customWidth="1"/>
    <col min="32" max="32" style="5387" width="11.00390625" customWidth="1"/>
    <col min="33" max="33" style="5387" width="3.7109375" customWidth="1"/>
    <col min="34" max="34" style="5387" width="11.00390625" customWidth="1"/>
    <col min="35" max="35" style="5387" width="8.57421875" customWidth="1"/>
    <col min="56" max="56" width="10.57421875" hidden="1"/>
    <col min="57" max="57" style="5387" width="4.00390625" customWidth="1"/>
    <col min="58" max="58" style="5387" width="115.00390625" customWidth="1"/>
    <col min="59" max="63" style="5468" width="10.00390625" customWidth="1"/>
    <col min="64" max="64" style="5387" width="10.57421875" hidden="1"/>
  </cols>
  <sheetData>
    <row customHeight="1" ht="22.5" hidden="1">
      <c r="X1" s="440"/>
      <c r="Y1" s="440"/>
      <c r="AE1" s="440"/>
      <c r="AF1" s="440"/>
      <c r="AJ1" s="6591"/>
      <c r="AK1" s="6591"/>
      <c r="AL1" s="6591"/>
      <c r="AM1" s="6591"/>
      <c r="AN1" s="6591"/>
      <c r="AO1" s="6591"/>
      <c r="AP1" s="6591"/>
      <c r="AQ1" s="6591"/>
      <c r="AR1" s="6591"/>
      <c r="AS1" s="6591"/>
      <c r="AT1" s="6591"/>
      <c r="AU1" s="6591"/>
      <c r="AV1" s="6591"/>
      <c r="AW1" s="6591"/>
      <c r="AX1" s="6591"/>
      <c r="AY1" s="6591"/>
      <c r="AZ1" s="6591"/>
      <c r="BA1" s="6591"/>
      <c r="BB1" s="6591"/>
      <c r="BC1" s="6591"/>
      <c r="BD1" s="6591"/>
      <c r="BL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155</v>
      </c>
      <c r="U2" s="413"/>
      <c r="V2" s="2355"/>
      <c r="W2" s="2356"/>
      <c r="X2" s="2356"/>
      <c r="Y2" s="2356"/>
      <c r="Z2" s="2356"/>
      <c r="AA2" s="2356"/>
      <c r="AB2" s="2357"/>
      <c r="AC2" s="2355">
        <f>INDEX(PT_DIFFERENTIATION_NTAR,MATCH(A2,PT_DIFFERENTIATION_NTAR_ID,0))</f>
      </c>
      <c r="AD2" s="2356"/>
      <c r="AE2" s="2356"/>
      <c r="AF2" s="2356"/>
      <c r="AG2" s="2356"/>
      <c r="AH2" s="2356"/>
      <c r="AI2" s="2356"/>
      <c r="AJ2" s="6593"/>
      <c r="AK2" s="6594"/>
      <c r="AL2" s="6594"/>
      <c r="AM2" s="6594"/>
      <c r="AN2" s="6594"/>
      <c r="AO2" s="6594"/>
      <c r="AP2" s="6595"/>
      <c r="AQ2" s="6593"/>
      <c r="AR2" s="6594"/>
      <c r="AS2" s="6594"/>
      <c r="AT2" s="6594"/>
      <c r="AU2" s="6594"/>
      <c r="AV2" s="6594"/>
      <c r="AW2" s="6595"/>
      <c r="AX2" s="6593"/>
      <c r="AY2" s="6594"/>
      <c r="AZ2" s="6594"/>
      <c r="BA2" s="6594"/>
      <c r="BB2" s="6594"/>
      <c r="BC2" s="6594"/>
      <c r="BD2" s="6595"/>
      <c r="BE2" s="2357"/>
      <c r="BF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2" s="613"/>
      <c r="BI2" s="613" t="str">
        <f>IF(T2="","",T2)</f>
        <v>Наименование тарифа</v>
      </c>
      <c r="BJ2" s="613"/>
      <c r="BK2" s="613"/>
      <c r="BL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490</v>
      </c>
      <c r="U3" s="413"/>
      <c r="V3" s="2355"/>
      <c r="W3" s="2356"/>
      <c r="X3" s="2356"/>
      <c r="Y3" s="2356"/>
      <c r="Z3" s="2356"/>
      <c r="AA3" s="2356"/>
      <c r="AB3" s="2357"/>
      <c r="AC3" s="2355">
        <f>INDEX(PT_DIFFERENTIATION_TER,MATCH(B3,PT_DIFFERENTIATION_TER_ID,0))</f>
      </c>
      <c r="AD3" s="2356"/>
      <c r="AE3" s="2356"/>
      <c r="AF3" s="2356"/>
      <c r="AG3" s="2356"/>
      <c r="AH3" s="2356"/>
      <c r="AI3" s="2356"/>
      <c r="AJ3" s="6593"/>
      <c r="AK3" s="6594"/>
      <c r="AL3" s="6594"/>
      <c r="AM3" s="6594"/>
      <c r="AN3" s="6594"/>
      <c r="AO3" s="6594"/>
      <c r="AP3" s="6595"/>
      <c r="AQ3" s="6593"/>
      <c r="AR3" s="6594"/>
      <c r="AS3" s="6594"/>
      <c r="AT3" s="6594"/>
      <c r="AU3" s="6594"/>
      <c r="AV3" s="6594"/>
      <c r="AW3" s="6595"/>
      <c r="AX3" s="6593"/>
      <c r="AY3" s="6594"/>
      <c r="AZ3" s="6594"/>
      <c r="BA3" s="6594"/>
      <c r="BB3" s="6594"/>
      <c r="BC3" s="6594"/>
      <c r="BD3" s="6595"/>
      <c r="BE3" s="2357"/>
      <c r="BF3" s="1371" t="s">
        <v>491</v>
      </c>
      <c r="BH3" s="613"/>
      <c r="BI3" s="613" t="str">
        <f>IF(T3="","",T3)</f>
        <v>Территория действия тарифа</v>
      </c>
      <c r="BJ3" s="613"/>
      <c r="BK3" s="613"/>
      <c r="BL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606</v>
      </c>
      <c r="U4" s="413"/>
      <c r="V4" s="2355"/>
      <c r="W4" s="2356"/>
      <c r="X4" s="2356"/>
      <c r="Y4" s="2356"/>
      <c r="Z4" s="2356"/>
      <c r="AA4" s="2356"/>
      <c r="AB4" s="2357"/>
      <c r="AC4" s="2355">
        <f>INDEX(PT_DIFFERENTIATION_CS,MATCH(C4,PT_DIFFERENTIATION_CS_ID,0))</f>
      </c>
      <c r="AD4" s="2356"/>
      <c r="AE4" s="2356"/>
      <c r="AF4" s="2356"/>
      <c r="AG4" s="2356"/>
      <c r="AH4" s="2356"/>
      <c r="AI4" s="2356"/>
      <c r="AJ4" s="6593"/>
      <c r="AK4" s="6594"/>
      <c r="AL4" s="6594"/>
      <c r="AM4" s="6594"/>
      <c r="AN4" s="6594"/>
      <c r="AO4" s="6594"/>
      <c r="AP4" s="6595"/>
      <c r="AQ4" s="6593"/>
      <c r="AR4" s="6594"/>
      <c r="AS4" s="6594"/>
      <c r="AT4" s="6594"/>
      <c r="AU4" s="6594"/>
      <c r="AV4" s="6594"/>
      <c r="AW4" s="6595"/>
      <c r="AX4" s="6593"/>
      <c r="AY4" s="6594"/>
      <c r="AZ4" s="6594"/>
      <c r="BA4" s="6594"/>
      <c r="BB4" s="6594"/>
      <c r="BC4" s="6594"/>
      <c r="BD4" s="6595"/>
      <c r="BE4" s="2357"/>
      <c r="BF4" s="1371" t="s">
        <v>607</v>
      </c>
      <c r="BH4" s="613"/>
      <c r="BI4" s="613" t="str">
        <f>IF(T4="","",T4)</f>
        <v>Наименование централизованной системы водоотведения</v>
      </c>
      <c r="BJ4" s="613"/>
      <c r="BK4" s="613"/>
      <c r="BL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573</v>
      </c>
      <c r="U5" s="413"/>
      <c r="V5" s="2463"/>
      <c r="W5" s="2464"/>
      <c r="X5" s="2464"/>
      <c r="Y5" s="2464"/>
      <c r="Z5" s="2464"/>
      <c r="AA5" s="2464"/>
      <c r="AB5" s="2465"/>
      <c r="AC5" s="2466"/>
      <c r="AD5" s="2467"/>
      <c r="AE5" s="2467"/>
      <c r="AF5" s="2467"/>
      <c r="AG5" s="2467"/>
      <c r="AH5" s="2467"/>
      <c r="AI5" s="2467"/>
      <c r="AJ5" s="6598"/>
      <c r="AK5" s="6599"/>
      <c r="AL5" s="6599"/>
      <c r="AM5" s="6599"/>
      <c r="AN5" s="6599"/>
      <c r="AO5" s="6599"/>
      <c r="AP5" s="6600"/>
      <c r="AQ5" s="6598"/>
      <c r="AR5" s="6599"/>
      <c r="AS5" s="6599"/>
      <c r="AT5" s="6599"/>
      <c r="AU5" s="6599"/>
      <c r="AV5" s="6599"/>
      <c r="AW5" s="6600"/>
      <c r="AX5" s="6598"/>
      <c r="AY5" s="6599"/>
      <c r="AZ5" s="6599"/>
      <c r="BA5" s="6599"/>
      <c r="BB5" s="6599"/>
      <c r="BC5" s="6599"/>
      <c r="BD5" s="6600"/>
      <c r="BE5" s="2468"/>
      <c r="BF5" s="1371" t="s">
        <v>574</v>
      </c>
      <c r="BH5" s="613"/>
      <c r="BI5" s="613" t="str">
        <f>IF(T5="","",T5)</f>
        <v>Наименование признака дифференциации</v>
      </c>
      <c r="BJ5" s="613"/>
      <c r="BK5" s="613"/>
      <c r="BL5" s="1268">
        <v>0</v>
      </c>
    </row>
    <row customHeight="1" ht="23.25" hidden="1">
      <c r="A6" s="1476"/>
      <c r="B6" s="1476"/>
      <c r="C6" s="1476"/>
      <c r="D6" s="1476"/>
      <c r="E6" s="2372"/>
      <c r="F6" s="2372"/>
      <c r="G6" s="2372"/>
      <c r="H6" s="2372"/>
      <c r="I6" s="2399"/>
      <c r="J6" s="2369">
        <f>I5&amp;".1"</f>
      </c>
      <c r="K6" s="1476"/>
      <c r="L6" s="1477" t="s">
        <v>499</v>
      </c>
      <c r="P6" s="2370"/>
      <c r="Q6" s="2370">
        <v>1</v>
      </c>
      <c r="R6" s="470"/>
      <c r="S6" s="1606">
        <f>$J6</f>
      </c>
      <c r="T6" s="399" t="s">
        <v>500</v>
      </c>
      <c r="U6" s="413"/>
      <c r="V6" s="2358"/>
      <c r="W6" s="2359"/>
      <c r="X6" s="2359"/>
      <c r="Y6" s="2359"/>
      <c r="Z6" s="2359"/>
      <c r="AA6" s="2359"/>
      <c r="AB6" s="2360"/>
      <c r="AC6" s="2358"/>
      <c r="AD6" s="2359"/>
      <c r="AE6" s="2359"/>
      <c r="AF6" s="2359"/>
      <c r="AG6" s="2359"/>
      <c r="AH6" s="2359"/>
      <c r="AI6" s="2359"/>
      <c r="AJ6" s="6601"/>
      <c r="AK6" s="6602"/>
      <c r="AL6" s="6602"/>
      <c r="AM6" s="6602"/>
      <c r="AN6" s="6602"/>
      <c r="AO6" s="6602"/>
      <c r="AP6" s="6603"/>
      <c r="AQ6" s="6601"/>
      <c r="AR6" s="6602"/>
      <c r="AS6" s="6602"/>
      <c r="AT6" s="6602"/>
      <c r="AU6" s="6602"/>
      <c r="AV6" s="6602"/>
      <c r="AW6" s="6603"/>
      <c r="AX6" s="6601"/>
      <c r="AY6" s="6602"/>
      <c r="AZ6" s="6602"/>
      <c r="BA6" s="6602"/>
      <c r="BB6" s="6602"/>
      <c r="BC6" s="6602"/>
      <c r="BD6" s="6603"/>
      <c r="BE6" s="2360"/>
      <c r="BF6" s="1420" t="s">
        <v>575</v>
      </c>
      <c r="BH6" s="613"/>
      <c r="BI6" s="613" t="str">
        <f>IF(T6="","",T6)</f>
        <v>Группа потребителей</v>
      </c>
      <c r="BJ6" s="613"/>
      <c r="BK6" s="613"/>
      <c r="BL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6604"/>
      <c r="AK7" s="6604"/>
      <c r="AL7" s="6605"/>
      <c r="AM7" s="6606"/>
      <c r="AN7" s="6607" t="s">
        <v>66</v>
      </c>
      <c r="AO7" s="6606"/>
      <c r="AP7" s="6607" t="s">
        <v>66</v>
      </c>
      <c r="AQ7" s="6604"/>
      <c r="AR7" s="6604"/>
      <c r="AS7" s="6605"/>
      <c r="AT7" s="6606"/>
      <c r="AU7" s="6607" t="s">
        <v>66</v>
      </c>
      <c r="AV7" s="6606"/>
      <c r="AW7" s="6607" t="s">
        <v>66</v>
      </c>
      <c r="AX7" s="6604"/>
      <c r="AY7" s="6604"/>
      <c r="AZ7" s="6605"/>
      <c r="BA7" s="6606"/>
      <c r="BB7" s="6607" t="s">
        <v>66</v>
      </c>
      <c r="BC7" s="6606"/>
      <c r="BD7" s="6607" t="s">
        <v>66</v>
      </c>
      <c r="BE7" s="1551"/>
      <c r="BF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624">
        <f>STRCHECKDATE(V8:BE8)</f>
      </c>
      <c r="BH7" s="613"/>
      <c r="BI7" s="613" t="str">
        <f>IF(T7="","",T7)</f>
        <v/>
      </c>
      <c r="BJ7" s="613"/>
      <c r="BK7" s="613"/>
      <c r="BL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6609"/>
      <c r="AK8" s="6609"/>
      <c r="AL8" s="6610" t="str">
        <f>AM7&amp;"-"&amp;AO7</f>
        <v>-</v>
      </c>
      <c r="AM8" s="6611"/>
      <c r="AN8" s="6607"/>
      <c r="AO8" s="6611"/>
      <c r="AP8" s="6607"/>
      <c r="AQ8" s="6609"/>
      <c r="AR8" s="6609"/>
      <c r="AS8" s="6610" t="str">
        <f>AT7&amp;"-"&amp;AV7</f>
        <v>-</v>
      </c>
      <c r="AT8" s="6611"/>
      <c r="AU8" s="6607"/>
      <c r="AV8" s="6611"/>
      <c r="AW8" s="6607"/>
      <c r="AX8" s="6609"/>
      <c r="AY8" s="6609"/>
      <c r="AZ8" s="6610" t="str">
        <f>BA7&amp;"-"&amp;BC7</f>
        <v>-</v>
      </c>
      <c r="BA8" s="6611"/>
      <c r="BB8" s="6607"/>
      <c r="BC8" s="6611"/>
      <c r="BD8" s="6607"/>
      <c r="BE8" s="1552"/>
      <c r="BF8" s="2462"/>
      <c r="BH8" s="613"/>
      <c r="BI8" s="613" t="str">
        <f>IF(T8="","",T8)</f>
        <v/>
      </c>
      <c r="BJ8" s="613"/>
      <c r="BK8" s="613"/>
      <c r="BL8" s="1268">
        <v>0</v>
      </c>
    </row>
    <row customHeight="1" ht="21" hidden="1">
      <c r="A9" s="1476"/>
      <c r="B9" s="1476"/>
      <c r="C9" s="1476"/>
      <c r="D9" s="1476"/>
      <c r="E9" s="2372"/>
      <c r="F9" s="2372"/>
      <c r="G9" s="2372"/>
      <c r="H9" s="2372"/>
      <c r="I9" s="2399"/>
      <c r="J9" s="2369"/>
      <c r="K9" s="1476"/>
      <c r="L9" s="1477"/>
      <c r="P9" s="2370"/>
      <c r="Q9" s="2370"/>
      <c r="R9" s="469"/>
      <c r="S9" s="1391"/>
      <c r="T9" s="400" t="s">
        <v>576</v>
      </c>
      <c r="U9" s="480"/>
      <c r="V9" s="480"/>
      <c r="W9" s="480"/>
      <c r="X9" s="480"/>
      <c r="Y9" s="480"/>
      <c r="Z9" s="480"/>
      <c r="AA9" s="480"/>
      <c r="AB9" s="480"/>
      <c r="AC9" s="480"/>
      <c r="AD9" s="480"/>
      <c r="AE9" s="480"/>
      <c r="AF9" s="480"/>
      <c r="AG9" s="480"/>
      <c r="AH9" s="480"/>
      <c r="AI9" s="480"/>
      <c r="AJ9" s="6612"/>
      <c r="AK9" s="6613"/>
      <c r="AL9" s="6614"/>
      <c r="AM9" s="6615"/>
      <c r="AN9" s="6616"/>
      <c r="AO9" s="6617"/>
      <c r="AP9" s="6618"/>
      <c r="AQ9" s="6619"/>
      <c r="AR9" s="6620"/>
      <c r="AS9" s="6621"/>
      <c r="AT9" s="6622"/>
      <c r="AU9" s="6623"/>
      <c r="AV9" s="6624"/>
      <c r="AW9" s="6625"/>
      <c r="AX9" s="6626"/>
      <c r="AY9" s="6627"/>
      <c r="AZ9" s="6628"/>
      <c r="BA9" s="6629"/>
      <c r="BB9" s="6630"/>
      <c r="BC9" s="6631"/>
      <c r="BD9" s="6632"/>
      <c r="BE9" s="480"/>
      <c r="BF9" s="1371" t="s">
        <v>577</v>
      </c>
      <c r="BH9" s="613"/>
      <c r="BI9" s="613" t="str">
        <f>IF(T9="","",T9)</f>
        <v>Добавить значение признака дифференциации</v>
      </c>
      <c r="BJ9" s="613"/>
      <c r="BK9" s="613"/>
      <c r="BL9" s="1268">
        <v>0</v>
      </c>
    </row>
    <row customHeight="1" ht="21" hidden="1">
      <c r="A10" s="1476"/>
      <c r="B10" s="1476"/>
      <c r="C10" s="1476"/>
      <c r="D10" s="1476"/>
      <c r="E10" s="2372"/>
      <c r="F10" s="2372"/>
      <c r="G10" s="2372"/>
      <c r="H10" s="2372"/>
      <c r="I10" s="2369"/>
      <c r="J10" s="1476"/>
      <c r="K10" s="1476"/>
      <c r="L10" s="1477"/>
      <c r="P10" s="2370"/>
      <c r="Q10" s="1594"/>
      <c r="R10" s="469"/>
      <c r="S10" s="1391"/>
      <c r="T10" s="478" t="s">
        <v>505</v>
      </c>
      <c r="U10" s="480"/>
      <c r="V10" s="480"/>
      <c r="W10" s="480"/>
      <c r="X10" s="480"/>
      <c r="Y10" s="480"/>
      <c r="Z10" s="480"/>
      <c r="AA10" s="480"/>
      <c r="AB10" s="479"/>
      <c r="AC10" s="480"/>
      <c r="AD10" s="480"/>
      <c r="AE10" s="480"/>
      <c r="AF10" s="480"/>
      <c r="AG10" s="480"/>
      <c r="AH10" s="480"/>
      <c r="AI10" s="479"/>
      <c r="AJ10" s="6633"/>
      <c r="AK10" s="6634"/>
      <c r="AL10" s="6635"/>
      <c r="AM10" s="6636"/>
      <c r="AN10" s="6637"/>
      <c r="AO10" s="6638"/>
      <c r="AP10" s="6639"/>
      <c r="AQ10" s="6640"/>
      <c r="AR10" s="6641"/>
      <c r="AS10" s="6642"/>
      <c r="AT10" s="6643"/>
      <c r="AU10" s="6644"/>
      <c r="AV10" s="6645"/>
      <c r="AW10" s="6646"/>
      <c r="AX10" s="6647"/>
      <c r="AY10" s="6648"/>
      <c r="AZ10" s="6649"/>
      <c r="BA10" s="6650"/>
      <c r="BB10" s="6651"/>
      <c r="BC10" s="6652"/>
      <c r="BD10" s="6653"/>
      <c r="BE10" s="480"/>
      <c r="BF10" s="1553"/>
      <c r="BH10" s="613"/>
      <c r="BI10" s="613" t="str">
        <f>IF(T10="","",T10)</f>
        <v>Добавить группу потребителей</v>
      </c>
      <c r="BJ10" s="613"/>
      <c r="BK10" s="613"/>
      <c r="BL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578</v>
      </c>
      <c r="U11" s="480"/>
      <c r="V11" s="480"/>
      <c r="W11" s="480"/>
      <c r="X11" s="480"/>
      <c r="Y11" s="480"/>
      <c r="Z11" s="480"/>
      <c r="AA11" s="480"/>
      <c r="AB11" s="479"/>
      <c r="AC11" s="480"/>
      <c r="AD11" s="480"/>
      <c r="AE11" s="480"/>
      <c r="AF11" s="480"/>
      <c r="AG11" s="480"/>
      <c r="AH11" s="480"/>
      <c r="AI11" s="479"/>
      <c r="AJ11" s="6654"/>
      <c r="AK11" s="6655"/>
      <c r="AL11" s="6656"/>
      <c r="AM11" s="6657"/>
      <c r="AN11" s="6658"/>
      <c r="AO11" s="6659"/>
      <c r="AP11" s="6660"/>
      <c r="AQ11" s="6661"/>
      <c r="AR11" s="6662"/>
      <c r="AS11" s="6663"/>
      <c r="AT11" s="6664"/>
      <c r="AU11" s="6665"/>
      <c r="AV11" s="6666"/>
      <c r="AW11" s="6667"/>
      <c r="AX11" s="6668"/>
      <c r="AY11" s="6669"/>
      <c r="AZ11" s="6670"/>
      <c r="BA11" s="6671"/>
      <c r="BB11" s="6672"/>
      <c r="BC11" s="6673"/>
      <c r="BD11" s="6674"/>
      <c r="BE11" s="480"/>
      <c r="BF11" s="416"/>
      <c r="BH11" s="613"/>
      <c r="BI11" s="613" t="str">
        <f>IF(T11="","",T11)</f>
        <v>Добавить наименование признака дифференциации</v>
      </c>
      <c r="BJ11" s="613"/>
      <c r="BK11" s="613"/>
      <c r="BL11" s="1268">
        <v>0</v>
      </c>
    </row>
    <row s="546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312</v>
      </c>
      <c r="U12" s="1437"/>
      <c r="V12" s="1437"/>
      <c r="W12" s="1437"/>
      <c r="X12" s="1437"/>
      <c r="Y12" s="1437"/>
      <c r="Z12" s="1437"/>
      <c r="AA12" s="1437"/>
      <c r="AB12" s="1437"/>
      <c r="AC12" s="1437"/>
      <c r="AD12" s="1437"/>
      <c r="AE12" s="1437"/>
      <c r="AF12" s="1437"/>
      <c r="AG12" s="1437"/>
      <c r="AH12" s="1437"/>
      <c r="AI12" s="1437"/>
      <c r="AJ12" s="6676"/>
      <c r="AK12" s="6676"/>
      <c r="AL12" s="6676"/>
      <c r="AM12" s="6676"/>
      <c r="AN12" s="6676"/>
      <c r="AO12" s="6676"/>
      <c r="AP12" s="6676"/>
      <c r="AQ12" s="6676"/>
      <c r="AR12" s="6676"/>
      <c r="AS12" s="6676"/>
      <c r="AT12" s="6676"/>
      <c r="AU12" s="6676"/>
      <c r="AV12" s="6676"/>
      <c r="AW12" s="6676"/>
      <c r="AX12" s="6676"/>
      <c r="AY12" s="6676"/>
      <c r="AZ12" s="6676"/>
      <c r="BA12" s="6676"/>
      <c r="BB12" s="6676"/>
      <c r="BC12" s="6676"/>
      <c r="BD12" s="6676"/>
      <c r="BE12" s="1437"/>
      <c r="BF12" s="1437"/>
      <c r="BH12" s="902"/>
      <c r="BI12" s="902" t="str">
        <f>IF(T12="","",T12)</f>
        <v>Добавить централизованную систему для дифференциации</v>
      </c>
      <c r="BJ12" s="902"/>
      <c r="BK12" s="902"/>
      <c r="BL12" s="631">
        <v>0</v>
      </c>
    </row>
    <row s="546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360</v>
      </c>
      <c r="U13" s="1437"/>
      <c r="V13" s="1437"/>
      <c r="W13" s="1437"/>
      <c r="X13" s="1437"/>
      <c r="Y13" s="1437"/>
      <c r="Z13" s="1437"/>
      <c r="AA13" s="1437"/>
      <c r="AB13" s="1437"/>
      <c r="AC13" s="1437"/>
      <c r="AD13" s="1437"/>
      <c r="AE13" s="1437"/>
      <c r="AF13" s="1437"/>
      <c r="AG13" s="1437"/>
      <c r="AH13" s="1437"/>
      <c r="AI13" s="1437"/>
      <c r="AJ13" s="6676"/>
      <c r="AK13" s="6676"/>
      <c r="AL13" s="6676"/>
      <c r="AM13" s="6676"/>
      <c r="AN13" s="6676"/>
      <c r="AO13" s="6676"/>
      <c r="AP13" s="6676"/>
      <c r="AQ13" s="6676"/>
      <c r="AR13" s="6676"/>
      <c r="AS13" s="6676"/>
      <c r="AT13" s="6676"/>
      <c r="AU13" s="6676"/>
      <c r="AV13" s="6676"/>
      <c r="AW13" s="6676"/>
      <c r="AX13" s="6676"/>
      <c r="AY13" s="6676"/>
      <c r="AZ13" s="6676"/>
      <c r="BA13" s="6676"/>
      <c r="BB13" s="6676"/>
      <c r="BC13" s="6676"/>
      <c r="BD13" s="6676"/>
      <c r="BE13" s="1437"/>
      <c r="BF13" s="1437"/>
      <c r="BH13" s="613"/>
      <c r="BI13" s="613" t="str">
        <f>IF(T13="","",T13)</f>
        <v>Добавить территорию для дифференциации</v>
      </c>
      <c r="BJ13" s="613"/>
      <c r="BK13" s="613"/>
      <c r="BL13" s="624">
        <v>0</v>
      </c>
    </row>
    <row customHeight="1" ht="14.25" hidden="1">
      <c r="AB14" s="440"/>
      <c r="AI14" s="440"/>
      <c r="AJ14" s="6591"/>
      <c r="AK14" s="6591"/>
      <c r="AL14" s="6591"/>
      <c r="AM14" s="6591"/>
      <c r="AN14" s="6591"/>
      <c r="AO14" s="6591"/>
      <c r="AP14" s="6591"/>
      <c r="AQ14" s="6591"/>
      <c r="AR14" s="6591"/>
      <c r="AS14" s="6591"/>
      <c r="AT14" s="6591"/>
      <c r="AU14" s="6591"/>
      <c r="AV14" s="6591"/>
      <c r="AW14" s="6591"/>
      <c r="AX14" s="6591"/>
      <c r="AY14" s="6591"/>
      <c r="AZ14" s="6591"/>
      <c r="BA14" s="6591"/>
      <c r="BB14" s="6591"/>
      <c r="BC14" s="6591"/>
      <c r="BD14" s="6591"/>
      <c r="BL14" s="1268">
        <v>0</v>
      </c>
    </row>
    <row customHeight="1" ht="14.25" hidden="1">
      <c r="AC15" s="1473"/>
      <c r="AD15" s="1473"/>
      <c r="AE15" s="1474"/>
      <c r="AF15" s="2380"/>
      <c r="AG15" s="2381" t="s">
        <v>66</v>
      </c>
      <c r="AH15" s="2380"/>
      <c r="AI15" s="2381" t="s">
        <v>66</v>
      </c>
      <c r="AJ15" s="6591"/>
      <c r="AK15" s="6591"/>
      <c r="AL15" s="6591"/>
      <c r="AM15" s="6591"/>
      <c r="AN15" s="6591"/>
      <c r="AO15" s="6591"/>
      <c r="AP15" s="6591"/>
      <c r="AQ15" s="6591"/>
      <c r="AR15" s="6591"/>
      <c r="AS15" s="6591"/>
      <c r="AT15" s="6591"/>
      <c r="AU15" s="6591"/>
      <c r="AV15" s="6591"/>
      <c r="AW15" s="6591"/>
      <c r="AX15" s="6591"/>
      <c r="AY15" s="6591"/>
      <c r="AZ15" s="6591"/>
      <c r="BA15" s="6591"/>
      <c r="BB15" s="6591"/>
      <c r="BC15" s="6591"/>
      <c r="BD15" s="6591"/>
      <c r="BL15" s="1268">
        <v>0</v>
      </c>
    </row>
    <row customHeight="1" ht="14.25" hidden="1">
      <c r="AC16" s="1473"/>
      <c r="AD16" s="1473"/>
      <c r="AE16" s="441" t="str">
        <f>AF15&amp;"-"&amp;AH15</f>
        <v>-</v>
      </c>
      <c r="AF16" s="2381"/>
      <c r="AG16" s="2381"/>
      <c r="AH16" s="2381"/>
      <c r="AI16" s="2381"/>
      <c r="AJ16" s="6591"/>
      <c r="AK16" s="6591"/>
      <c r="AL16" s="6591"/>
      <c r="AM16" s="6591"/>
      <c r="AN16" s="6591"/>
      <c r="AO16" s="6591"/>
      <c r="AP16" s="6591"/>
      <c r="AQ16" s="6591"/>
      <c r="AR16" s="6591"/>
      <c r="AS16" s="6591"/>
      <c r="AT16" s="6591"/>
      <c r="AU16" s="6591"/>
      <c r="AV16" s="6591"/>
      <c r="AW16" s="6591"/>
      <c r="AX16" s="6591"/>
      <c r="AY16" s="6591"/>
      <c r="AZ16" s="6591"/>
      <c r="BA16" s="6591"/>
      <c r="BB16" s="6591"/>
      <c r="BC16" s="6591"/>
      <c r="BD16" s="6591"/>
      <c r="BL16" s="1268">
        <v>0</v>
      </c>
    </row>
    <row customHeight="1" ht="14.25" hidden="1">
      <c r="AI17" s="440"/>
      <c r="AJ17" s="6591"/>
      <c r="AK17" s="6591"/>
      <c r="AL17" s="6591"/>
      <c r="AM17" s="6591"/>
      <c r="AN17" s="6591"/>
      <c r="AO17" s="6591"/>
      <c r="AP17" s="6591"/>
      <c r="AQ17" s="6591"/>
      <c r="AR17" s="6591"/>
      <c r="AS17" s="6591"/>
      <c r="AT17" s="6591"/>
      <c r="AU17" s="6591"/>
      <c r="AV17" s="6591"/>
      <c r="AW17" s="6591"/>
      <c r="AX17" s="6591"/>
      <c r="AY17" s="6591"/>
      <c r="AZ17" s="6591"/>
      <c r="BA17" s="6591"/>
      <c r="BB17" s="6591"/>
      <c r="BC17" s="6591"/>
      <c r="BD17" s="6591"/>
      <c r="BL17" s="1268">
        <v>0</v>
      </c>
    </row>
    <row s="5467" customFormat="1" customHeight="1" ht="22.5" hidden="1">
      <c r="L18" s="1591"/>
      <c r="M18" s="1475"/>
      <c r="N18" s="1475"/>
      <c r="O18" s="1480" t="s">
        <v>508</v>
      </c>
      <c r="P18" s="1475"/>
      <c r="Q18" s="1484"/>
      <c r="R18" s="1484"/>
      <c r="S18" s="842"/>
      <c r="Y18" s="1480"/>
      <c r="AA18" s="1480"/>
      <c r="AB18" s="1479"/>
      <c r="AF18" s="1480"/>
      <c r="AH18" s="1480"/>
      <c r="AI18" s="1479"/>
      <c r="AJ18" s="6678"/>
      <c r="AK18" s="6678"/>
      <c r="AL18" s="6678"/>
      <c r="AM18" s="6679"/>
      <c r="AN18" s="6678"/>
      <c r="AO18" s="6679"/>
      <c r="AP18" s="6678"/>
      <c r="AQ18" s="6678"/>
      <c r="AR18" s="6678"/>
      <c r="AS18" s="6678"/>
      <c r="AT18" s="6679"/>
      <c r="AU18" s="6678"/>
      <c r="AV18" s="6679"/>
      <c r="AW18" s="6678"/>
      <c r="AX18" s="6678"/>
      <c r="AY18" s="6678"/>
      <c r="AZ18" s="6678"/>
      <c r="BA18" s="6679"/>
      <c r="BB18" s="6678"/>
      <c r="BC18" s="6679"/>
      <c r="BD18" s="6678"/>
      <c r="BG18" s="624"/>
      <c r="BH18" s="624"/>
      <c r="BI18" s="624"/>
      <c r="BJ18" s="624"/>
      <c r="BK18" s="624"/>
      <c r="BL18" s="1273">
        <v>0</v>
      </c>
    </row>
    <row s="5467" customFormat="1" customHeight="1" ht="14.25" hidden="1">
      <c r="L19" s="1591"/>
      <c r="M19" s="1475"/>
      <c r="N19" s="1475"/>
      <c r="O19" s="1475"/>
      <c r="P19" s="1475"/>
      <c r="Q19" s="1484"/>
      <c r="R19" s="1484"/>
      <c r="S19" s="842"/>
      <c r="AB19" s="1479"/>
      <c r="AI19" s="1479"/>
      <c r="AJ19" s="6678"/>
      <c r="AK19" s="6678"/>
      <c r="AL19" s="6678"/>
      <c r="AM19" s="6678"/>
      <c r="AN19" s="6678"/>
      <c r="AO19" s="6678"/>
      <c r="AP19" s="6678"/>
      <c r="AQ19" s="6678"/>
      <c r="AR19" s="6678"/>
      <c r="AS19" s="6678"/>
      <c r="AT19" s="6678"/>
      <c r="AU19" s="6678"/>
      <c r="AV19" s="6678"/>
      <c r="AW19" s="6678"/>
      <c r="AX19" s="6678"/>
      <c r="AY19" s="6678"/>
      <c r="AZ19" s="6678"/>
      <c r="BA19" s="6678"/>
      <c r="BB19" s="6678"/>
      <c r="BC19" s="6678"/>
      <c r="BD19" s="6678"/>
      <c r="BG19" s="624"/>
      <c r="BH19" s="624"/>
      <c r="BI19" s="624"/>
      <c r="BJ19" s="624"/>
      <c r="BK19" s="624"/>
      <c r="BL19" s="1273">
        <v>0</v>
      </c>
    </row>
    <row s="5467" customFormat="1" customHeight="1" ht="12" hidden="1">
      <c r="L20" s="1591"/>
      <c r="M20" s="1475"/>
      <c r="N20" s="1475"/>
      <c r="O20" s="1477" t="s">
        <v>509</v>
      </c>
      <c r="P20" s="1475"/>
      <c r="Q20" s="1555"/>
      <c r="R20" s="1555"/>
      <c r="S20" s="842"/>
      <c r="T20" s="1273" t="s">
        <v>510</v>
      </c>
      <c r="Z20" s="299" t="s">
        <v>511</v>
      </c>
      <c r="AB20" s="299" t="s">
        <v>512</v>
      </c>
      <c r="AC20" s="1273" t="s">
        <v>510</v>
      </c>
      <c r="AG20" s="299" t="s">
        <v>513</v>
      </c>
      <c r="AI20" s="299" t="s">
        <v>512</v>
      </c>
      <c r="AJ20" s="6678"/>
      <c r="AK20" s="6678"/>
      <c r="AL20" s="6678"/>
      <c r="AM20" s="6678"/>
      <c r="AN20" s="6680" t="s">
        <v>511</v>
      </c>
      <c r="AO20" s="6678"/>
      <c r="AP20" s="6680" t="s">
        <v>512</v>
      </c>
      <c r="AQ20" s="6678"/>
      <c r="AR20" s="6678"/>
      <c r="AS20" s="6678"/>
      <c r="AT20" s="6678"/>
      <c r="AU20" s="6680" t="s">
        <v>511</v>
      </c>
      <c r="AV20" s="6678"/>
      <c r="AW20" s="6680" t="s">
        <v>512</v>
      </c>
      <c r="AX20" s="6678"/>
      <c r="AY20" s="6678"/>
      <c r="AZ20" s="6678"/>
      <c r="BA20" s="6678"/>
      <c r="BB20" s="6680" t="s">
        <v>511</v>
      </c>
      <c r="BC20" s="6678"/>
      <c r="BD20" s="6680" t="s">
        <v>512</v>
      </c>
      <c r="BL20" s="1273">
        <v>0</v>
      </c>
    </row>
    <row customHeight="1" ht="14.25" hidden="1">
      <c r="O21" s="1477"/>
      <c r="AJ21" s="6591"/>
      <c r="AK21" s="6591"/>
      <c r="AL21" s="6591"/>
      <c r="AM21" s="6591"/>
      <c r="AN21" s="6591"/>
      <c r="AO21" s="6591"/>
      <c r="AP21" s="6591"/>
      <c r="AQ21" s="6591"/>
      <c r="AR21" s="6591"/>
      <c r="AS21" s="6591"/>
      <c r="AT21" s="6591"/>
      <c r="AU21" s="6591"/>
      <c r="AV21" s="6591"/>
      <c r="AW21" s="6591"/>
      <c r="AX21" s="6591"/>
      <c r="AY21" s="6591"/>
      <c r="AZ21" s="6591"/>
      <c r="BA21" s="6591"/>
      <c r="BB21" s="6591"/>
      <c r="BC21" s="6591"/>
      <c r="BD21" s="6591"/>
      <c r="BL21" s="1268">
        <v>0</v>
      </c>
    </row>
    <row customHeight="1" ht="14.25" hidden="1">
      <c r="O22" s="1477"/>
      <c r="AJ22" s="6591"/>
      <c r="AK22" s="6591"/>
      <c r="AL22" s="6591"/>
      <c r="AM22" s="6591"/>
      <c r="AN22" s="6591"/>
      <c r="AO22" s="6591"/>
      <c r="AP22" s="6591"/>
      <c r="AQ22" s="6591"/>
      <c r="AR22" s="6591"/>
      <c r="AS22" s="6591"/>
      <c r="AT22" s="6591"/>
      <c r="AU22" s="6591"/>
      <c r="AV22" s="6591"/>
      <c r="AW22" s="6591"/>
      <c r="AX22" s="6591"/>
      <c r="AY22" s="6591"/>
      <c r="AZ22" s="6591"/>
      <c r="BA22" s="6591"/>
      <c r="BB22" s="6591"/>
      <c r="BC22" s="6591"/>
      <c r="BD22" s="6591"/>
      <c r="BL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J23" s="6591"/>
      <c r="AK23" s="6591"/>
      <c r="AL23" s="6591"/>
      <c r="AM23" s="6591"/>
      <c r="AN23" s="6591"/>
      <c r="AO23" s="6591"/>
      <c r="AP23" s="6591"/>
      <c r="AQ23" s="6591"/>
      <c r="AR23" s="6591"/>
      <c r="AS23" s="6591"/>
      <c r="AT23" s="6591"/>
      <c r="AU23" s="6591"/>
      <c r="AV23" s="6591"/>
      <c r="AW23" s="6591"/>
      <c r="AX23" s="6591"/>
      <c r="AY23" s="6591"/>
      <c r="AZ23" s="6591"/>
      <c r="BA23" s="6591"/>
      <c r="BB23" s="6591"/>
      <c r="BC23" s="6591"/>
      <c r="BD23" s="6591"/>
      <c r="BL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J24" s="6681"/>
      <c r="AK24" s="6681"/>
      <c r="AL24" s="6681"/>
      <c r="AM24" s="6681"/>
      <c r="AN24" s="6681"/>
      <c r="AO24" s="6681"/>
      <c r="AP24" s="6681"/>
      <c r="AQ24" s="6681"/>
      <c r="AR24" s="6681"/>
      <c r="AS24" s="6681"/>
      <c r="AT24" s="6681"/>
      <c r="AU24" s="6681"/>
      <c r="AV24" s="6681"/>
      <c r="AW24" s="6681"/>
      <c r="AX24" s="6681"/>
      <c r="AY24" s="6681"/>
      <c r="AZ24" s="6681"/>
      <c r="BA24" s="6681"/>
      <c r="BB24" s="6681"/>
      <c r="BC24" s="6681"/>
      <c r="BD24" s="6681"/>
      <c r="BL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J25" s="6682"/>
      <c r="AK25" s="6682"/>
      <c r="AL25" s="6682"/>
      <c r="AM25" s="6682"/>
      <c r="AN25" s="6682"/>
      <c r="AO25" s="6682"/>
      <c r="AP25" s="6682"/>
      <c r="AQ25" s="6682"/>
      <c r="AR25" s="6682"/>
      <c r="AS25" s="6682"/>
      <c r="AT25" s="6682"/>
      <c r="AU25" s="6682"/>
      <c r="AV25" s="6682"/>
      <c r="AW25" s="6682"/>
      <c r="AX25" s="6682"/>
      <c r="AY25" s="6682"/>
      <c r="AZ25" s="6682"/>
      <c r="BA25" s="6682"/>
      <c r="BB25" s="6682"/>
      <c r="BC25" s="6682"/>
      <c r="BD25" s="6682"/>
      <c r="BL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683"/>
      <c r="AK26" s="6683"/>
      <c r="AL26" s="6683"/>
      <c r="AM26" s="6683"/>
      <c r="AN26" s="6683"/>
      <c r="AO26" s="6683"/>
      <c r="AP26" s="6683"/>
      <c r="AQ26" s="6683"/>
      <c r="AR26" s="6683"/>
      <c r="AS26" s="6683"/>
      <c r="AT26" s="6683"/>
      <c r="AU26" s="6683"/>
      <c r="AV26" s="6683"/>
      <c r="AW26" s="6683"/>
      <c r="AX26" s="6683"/>
      <c r="AY26" s="6683"/>
      <c r="AZ26" s="6683"/>
      <c r="BA26" s="6683"/>
      <c r="BB26" s="6683"/>
      <c r="BC26" s="6683"/>
      <c r="BD26" s="6683"/>
      <c r="BE26" s="622"/>
      <c r="BL26" s="1268">
        <v>0</v>
      </c>
    </row>
    <row s="560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6684" t="str">
        <f>IF(TITLE_NAME_OR_PR_CHANGE="",IF(TITLE_NAME_OR_PR="","",TITLE_NAME_OR_PR),TITLE_NAME_OR_PR_CHANGE)</f>
        <v/>
      </c>
      <c r="AK27" s="6684"/>
      <c r="AL27" s="6684"/>
      <c r="AM27" s="6684"/>
      <c r="AN27" s="6684"/>
      <c r="AO27" s="6684"/>
      <c r="AP27" s="6591"/>
      <c r="AQ27" s="6684" t="str">
        <f>IF(TITLE_NAME_OR_PR_CHANGE="",IF(TITLE_NAME_OR_PR="","",TITLE_NAME_OR_PR),TITLE_NAME_OR_PR_CHANGE)</f>
        <v/>
      </c>
      <c r="AR27" s="6684"/>
      <c r="AS27" s="6684"/>
      <c r="AT27" s="6684"/>
      <c r="AU27" s="6684"/>
      <c r="AV27" s="6684"/>
      <c r="AW27" s="6591"/>
      <c r="AX27" s="6684" t="str">
        <f>IF(TITLE_NAME_OR_PR_CHANGE="",IF(TITLE_NAME_OR_PR="","",TITLE_NAME_OR_PR),TITLE_NAME_OR_PR_CHANGE)</f>
        <v/>
      </c>
      <c r="AY27" s="6684"/>
      <c r="AZ27" s="6684"/>
      <c r="BA27" s="6684"/>
      <c r="BB27" s="6684"/>
      <c r="BC27" s="6684"/>
      <c r="BD27" s="6591"/>
      <c r="BE27" s="439"/>
      <c r="BF27" s="393"/>
      <c r="BG27" s="481"/>
      <c r="BH27" s="481"/>
      <c r="BI27" s="481"/>
      <c r="BJ27" s="481"/>
      <c r="BK27" s="481"/>
      <c r="BL27" s="531">
        <v>0</v>
      </c>
    </row>
    <row s="5604" customFormat="1" customHeight="1" ht="18.75" hidden="1">
      <c r="A28" s="1481"/>
      <c r="B28" s="1481"/>
      <c r="C28" s="1481"/>
      <c r="D28" s="1481"/>
      <c r="E28" s="1481"/>
      <c r="F28" s="1481"/>
      <c r="G28" s="1481"/>
      <c r="H28" s="1481"/>
      <c r="I28" s="1481"/>
      <c r="J28" s="1481"/>
      <c r="K28" s="1481"/>
      <c r="L28" s="1482"/>
      <c r="M28" s="1481"/>
      <c r="N28" s="1481"/>
      <c r="O28" s="1481"/>
      <c r="S28" s="2363" t="s">
        <v>514</v>
      </c>
      <c r="T28" s="2363"/>
      <c r="U28" s="1485"/>
      <c r="V28" s="2377" t="str">
        <f>IF(TITLE_DATE_PR_CHANGE="",IF(TITLE_DATE_PR="","",TITLE_DATE_PR),TITLE_DATE_PR_CHANGE)</f>
        <v>45408.605891203704</v>
      </c>
      <c r="W28" s="2377"/>
      <c r="X28" s="2377"/>
      <c r="Y28" s="2377"/>
      <c r="Z28" s="2377"/>
      <c r="AA28" s="2377"/>
      <c r="AB28" s="439"/>
      <c r="AC28" s="2377" t="str">
        <f>IF(TITLE_DATE_PR_CHANGE="",IF(TITLE_DATE_PR="","",TITLE_DATE_PR),TITLE_DATE_PR_CHANGE)</f>
        <v>45408.605891203704</v>
      </c>
      <c r="AD28" s="2377"/>
      <c r="AE28" s="2377"/>
      <c r="AF28" s="2377"/>
      <c r="AG28" s="2377"/>
      <c r="AH28" s="2377"/>
      <c r="AI28" s="439"/>
      <c r="AJ28" s="6685" t="str">
        <f>IF(TITLE_DATE_PR_CHANGE="",IF(TITLE_DATE_PR="","",TITLE_DATE_PR),TITLE_DATE_PR_CHANGE)</f>
        <v>45408.605891203704</v>
      </c>
      <c r="AK28" s="6685"/>
      <c r="AL28" s="6685"/>
      <c r="AM28" s="6685"/>
      <c r="AN28" s="6685"/>
      <c r="AO28" s="6685"/>
      <c r="AP28" s="6591"/>
      <c r="AQ28" s="6685" t="str">
        <f>IF(TITLE_DATE_PR_CHANGE="",IF(TITLE_DATE_PR="","",TITLE_DATE_PR),TITLE_DATE_PR_CHANGE)</f>
        <v>45408.605891203704</v>
      </c>
      <c r="AR28" s="6685"/>
      <c r="AS28" s="6685"/>
      <c r="AT28" s="6685"/>
      <c r="AU28" s="6685"/>
      <c r="AV28" s="6685"/>
      <c r="AW28" s="6591"/>
      <c r="AX28" s="6685" t="str">
        <f>IF(TITLE_DATE_PR_CHANGE="",IF(TITLE_DATE_PR="","",TITLE_DATE_PR),TITLE_DATE_PR_CHANGE)</f>
        <v>45408.605891203704</v>
      </c>
      <c r="AY28" s="6685"/>
      <c r="AZ28" s="6685"/>
      <c r="BA28" s="6685"/>
      <c r="BB28" s="6685"/>
      <c r="BC28" s="6685"/>
      <c r="BD28" s="6591"/>
      <c r="BE28" s="439"/>
      <c r="BF28" s="393"/>
      <c r="BG28" s="481"/>
      <c r="BH28" s="481"/>
      <c r="BI28" s="481"/>
      <c r="BJ28" s="481"/>
      <c r="BK28" s="481"/>
      <c r="BL28" s="531">
        <v>0</v>
      </c>
    </row>
    <row s="5604" customFormat="1" customHeight="1" ht="18.75" hidden="1">
      <c r="A29" s="1481"/>
      <c r="B29" s="1481"/>
      <c r="C29" s="1481"/>
      <c r="D29" s="1481"/>
      <c r="E29" s="1481"/>
      <c r="F29" s="1481"/>
      <c r="G29" s="1481"/>
      <c r="H29" s="1481"/>
      <c r="I29" s="1481"/>
      <c r="J29" s="1481"/>
      <c r="K29" s="1481"/>
      <c r="L29" s="1482"/>
      <c r="M29" s="1481"/>
      <c r="N29" s="1481"/>
      <c r="O29" s="1481"/>
      <c r="S29" s="2363" t="s">
        <v>515</v>
      </c>
      <c r="T29" s="2363"/>
      <c r="U29" s="1485"/>
      <c r="V29" s="2364" t="str">
        <f>IF(TITLE_NUMBER_PR_CHANGE="",IF(TITLE_NUMBER_PR="","",TITLE_NUMBER_PR),TITLE_NUMBER_PR_CHANGE)</f>
        <v>27-2139</v>
      </c>
      <c r="W29" s="2364"/>
      <c r="X29" s="2364"/>
      <c r="Y29" s="2364"/>
      <c r="Z29" s="2364"/>
      <c r="AA29" s="2364"/>
      <c r="AB29" s="439"/>
      <c r="AC29" s="2364" t="str">
        <f>IF(TITLE_NUMBER_PR_CHANGE="",IF(TITLE_NUMBER_PR="","",TITLE_NUMBER_PR),TITLE_NUMBER_PR_CHANGE)</f>
        <v>27-2139</v>
      </c>
      <c r="AD29" s="2364"/>
      <c r="AE29" s="2364"/>
      <c r="AF29" s="2364"/>
      <c r="AG29" s="2364"/>
      <c r="AH29" s="2364"/>
      <c r="AI29" s="439"/>
      <c r="AJ29" s="6684" t="str">
        <f>IF(TITLE_NUMBER_PR_CHANGE="",IF(TITLE_NUMBER_PR="","",TITLE_NUMBER_PR),TITLE_NUMBER_PR_CHANGE)</f>
        <v>27-2139</v>
      </c>
      <c r="AK29" s="6684"/>
      <c r="AL29" s="6684"/>
      <c r="AM29" s="6684"/>
      <c r="AN29" s="6684"/>
      <c r="AO29" s="6684"/>
      <c r="AP29" s="6591"/>
      <c r="AQ29" s="6684" t="str">
        <f>IF(TITLE_NUMBER_PR_CHANGE="",IF(TITLE_NUMBER_PR="","",TITLE_NUMBER_PR),TITLE_NUMBER_PR_CHANGE)</f>
        <v>27-2139</v>
      </c>
      <c r="AR29" s="6684"/>
      <c r="AS29" s="6684"/>
      <c r="AT29" s="6684"/>
      <c r="AU29" s="6684"/>
      <c r="AV29" s="6684"/>
      <c r="AW29" s="6591"/>
      <c r="AX29" s="6684" t="str">
        <f>IF(TITLE_NUMBER_PR_CHANGE="",IF(TITLE_NUMBER_PR="","",TITLE_NUMBER_PR),TITLE_NUMBER_PR_CHANGE)</f>
        <v>27-2139</v>
      </c>
      <c r="AY29" s="6684"/>
      <c r="AZ29" s="6684"/>
      <c r="BA29" s="6684"/>
      <c r="BB29" s="6684"/>
      <c r="BC29" s="6684"/>
      <c r="BD29" s="6591"/>
      <c r="BE29" s="439"/>
      <c r="BF29" s="393"/>
      <c r="BG29" s="481"/>
      <c r="BH29" s="481"/>
      <c r="BI29" s="481"/>
      <c r="BJ29" s="481"/>
      <c r="BK29" s="481"/>
      <c r="BL29" s="531">
        <v>0</v>
      </c>
    </row>
    <row s="560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6684" t="str">
        <f>IF(TITLE_IST_PUB_CHANGE="",IF(TITLE_IST_PUB="","",TITLE_IST_PUB),TITLE_IST_PUB_CHANGE)</f>
        <v/>
      </c>
      <c r="AK30" s="6684"/>
      <c r="AL30" s="6684"/>
      <c r="AM30" s="6684"/>
      <c r="AN30" s="6684"/>
      <c r="AO30" s="6684"/>
      <c r="AP30" s="6591"/>
      <c r="AQ30" s="6684" t="str">
        <f>IF(TITLE_IST_PUB_CHANGE="",IF(TITLE_IST_PUB="","",TITLE_IST_PUB),TITLE_IST_PUB_CHANGE)</f>
        <v/>
      </c>
      <c r="AR30" s="6684"/>
      <c r="AS30" s="6684"/>
      <c r="AT30" s="6684"/>
      <c r="AU30" s="6684"/>
      <c r="AV30" s="6684"/>
      <c r="AW30" s="6591"/>
      <c r="AX30" s="6684" t="str">
        <f>IF(TITLE_IST_PUB_CHANGE="",IF(TITLE_IST_PUB="","",TITLE_IST_PUB),TITLE_IST_PUB_CHANGE)</f>
        <v/>
      </c>
      <c r="AY30" s="6684"/>
      <c r="AZ30" s="6684"/>
      <c r="BA30" s="6684"/>
      <c r="BB30" s="6684"/>
      <c r="BC30" s="6684"/>
      <c r="BD30" s="6591"/>
      <c r="BE30" s="439"/>
      <c r="BF30" s="393"/>
      <c r="BG30" s="481"/>
      <c r="BH30" s="481"/>
      <c r="BI30" s="481"/>
      <c r="BJ30" s="481"/>
      <c r="BK30" s="481"/>
      <c r="BL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683"/>
      <c r="AK31" s="6683"/>
      <c r="AL31" s="6683"/>
      <c r="AM31" s="6683"/>
      <c r="AN31" s="6683"/>
      <c r="AO31" s="6683"/>
      <c r="AP31" s="6683"/>
      <c r="AQ31" s="6683"/>
      <c r="AR31" s="6683"/>
      <c r="AS31" s="6683"/>
      <c r="AT31" s="6683"/>
      <c r="AU31" s="6683"/>
      <c r="AV31" s="6683"/>
      <c r="AW31" s="6683"/>
      <c r="AX31" s="6683"/>
      <c r="AY31" s="6683"/>
      <c r="AZ31" s="6683"/>
      <c r="BA31" s="6683"/>
      <c r="BB31" s="6683"/>
      <c r="BC31" s="6683"/>
      <c r="BD31" s="6683"/>
      <c r="BE31" s="622"/>
      <c r="BL31" s="1268">
        <v>0</v>
      </c>
    </row>
    <row s="5604" customFormat="1" customHeight="1" ht="18.75">
      <c r="A32" s="1481"/>
      <c r="B32" s="1481"/>
      <c r="C32" s="1481"/>
      <c r="D32" s="1481"/>
      <c r="E32" s="1481"/>
      <c r="F32" s="1481"/>
      <c r="G32" s="1481"/>
      <c r="H32" s="1481"/>
      <c r="I32" s="1481"/>
      <c r="J32" s="1481"/>
      <c r="K32" s="1481"/>
      <c r="L32" s="1482"/>
      <c r="M32" s="1481"/>
      <c r="N32" s="1481"/>
      <c r="O32" s="1481"/>
      <c r="S32" s="2363" t="s">
        <v>516</v>
      </c>
      <c r="T32" s="2363"/>
      <c r="U32" s="1485"/>
      <c r="V32" s="2377" t="str">
        <f>IF(TITLE_DATE_PR_CHANGE="",IF(TITLE_DATE_PR="","",TITLE_DATE_PR),TITLE_DATE_PR_CHANGE)</f>
        <v>45408.605891203704</v>
      </c>
      <c r="W32" s="2377"/>
      <c r="X32" s="2377"/>
      <c r="Y32" s="2377"/>
      <c r="Z32" s="2377"/>
      <c r="AA32" s="2377"/>
      <c r="AB32" s="439"/>
      <c r="AC32" s="2377" t="str">
        <f>IF(TITLE_DATE_PR_CHANGE="",IF(TITLE_DATE_PR="","",TITLE_DATE_PR),TITLE_DATE_PR_CHANGE)</f>
        <v>45408.605891203704</v>
      </c>
      <c r="AD32" s="2377"/>
      <c r="AE32" s="2377"/>
      <c r="AF32" s="2377"/>
      <c r="AG32" s="2377"/>
      <c r="AH32" s="2377"/>
      <c r="AI32" s="439"/>
      <c r="AJ32" s="6685" t="str">
        <f>IF(TITLE_DATE_PR_CHANGE="",IF(TITLE_DATE_PR="","",TITLE_DATE_PR),TITLE_DATE_PR_CHANGE)</f>
        <v>45408.605891203704</v>
      </c>
      <c r="AK32" s="6685"/>
      <c r="AL32" s="6685"/>
      <c r="AM32" s="6685"/>
      <c r="AN32" s="6685"/>
      <c r="AO32" s="6685"/>
      <c r="AP32" s="6591"/>
      <c r="AQ32" s="6685" t="str">
        <f>IF(TITLE_DATE_PR_CHANGE="",IF(TITLE_DATE_PR="","",TITLE_DATE_PR),TITLE_DATE_PR_CHANGE)</f>
        <v>45408.605891203704</v>
      </c>
      <c r="AR32" s="6685"/>
      <c r="AS32" s="6685"/>
      <c r="AT32" s="6685"/>
      <c r="AU32" s="6685"/>
      <c r="AV32" s="6685"/>
      <c r="AW32" s="6591"/>
      <c r="AX32" s="6685" t="str">
        <f>IF(TITLE_DATE_PR_CHANGE="",IF(TITLE_DATE_PR="","",TITLE_DATE_PR),TITLE_DATE_PR_CHANGE)</f>
        <v>45408.605891203704</v>
      </c>
      <c r="AY32" s="6685"/>
      <c r="AZ32" s="6685"/>
      <c r="BA32" s="6685"/>
      <c r="BB32" s="6685"/>
      <c r="BC32" s="6685"/>
      <c r="BD32" s="6591"/>
      <c r="BE32" s="439"/>
      <c r="BF32" s="393"/>
      <c r="BG32" s="481"/>
      <c r="BH32" s="481"/>
      <c r="BI32" s="481"/>
      <c r="BJ32" s="481"/>
      <c r="BK32" s="481"/>
      <c r="BL32" s="531">
        <v>0</v>
      </c>
    </row>
    <row s="5604" customFormat="1" customHeight="1" ht="18.75">
      <c r="A33" s="1481"/>
      <c r="B33" s="1481"/>
      <c r="C33" s="1481"/>
      <c r="D33" s="1481"/>
      <c r="E33" s="1481"/>
      <c r="F33" s="1481"/>
      <c r="G33" s="1481"/>
      <c r="H33" s="1481"/>
      <c r="I33" s="1481"/>
      <c r="J33" s="1481"/>
      <c r="K33" s="1481"/>
      <c r="L33" s="1482"/>
      <c r="M33" s="1481"/>
      <c r="N33" s="1481"/>
      <c r="O33" s="1481"/>
      <c r="S33" s="2363" t="s">
        <v>517</v>
      </c>
      <c r="T33" s="2363"/>
      <c r="U33" s="1485"/>
      <c r="V33" s="2364" t="str">
        <f>IF(TITLE_NUMBER_PR_CHANGE="",IF(TITLE_NUMBER_PR="","",TITLE_NUMBER_PR),TITLE_NUMBER_PR_CHANGE)</f>
        <v>27-2139</v>
      </c>
      <c r="W33" s="2364"/>
      <c r="X33" s="2364"/>
      <c r="Y33" s="2364"/>
      <c r="Z33" s="2364"/>
      <c r="AA33" s="2364"/>
      <c r="AB33" s="439"/>
      <c r="AC33" s="2364" t="str">
        <f>IF(TITLE_NUMBER_PR_CHANGE="",IF(TITLE_NUMBER_PR="","",TITLE_NUMBER_PR),TITLE_NUMBER_PR_CHANGE)</f>
        <v>27-2139</v>
      </c>
      <c r="AD33" s="2364"/>
      <c r="AE33" s="2364"/>
      <c r="AF33" s="2364"/>
      <c r="AG33" s="2364"/>
      <c r="AH33" s="2364"/>
      <c r="AI33" s="439"/>
      <c r="AJ33" s="6684" t="str">
        <f>IF(TITLE_NUMBER_PR_CHANGE="",IF(TITLE_NUMBER_PR="","",TITLE_NUMBER_PR),TITLE_NUMBER_PR_CHANGE)</f>
        <v>27-2139</v>
      </c>
      <c r="AK33" s="6684"/>
      <c r="AL33" s="6684"/>
      <c r="AM33" s="6684"/>
      <c r="AN33" s="6684"/>
      <c r="AO33" s="6684"/>
      <c r="AP33" s="6591"/>
      <c r="AQ33" s="6684" t="str">
        <f>IF(TITLE_NUMBER_PR_CHANGE="",IF(TITLE_NUMBER_PR="","",TITLE_NUMBER_PR),TITLE_NUMBER_PR_CHANGE)</f>
        <v>27-2139</v>
      </c>
      <c r="AR33" s="6684"/>
      <c r="AS33" s="6684"/>
      <c r="AT33" s="6684"/>
      <c r="AU33" s="6684"/>
      <c r="AV33" s="6684"/>
      <c r="AW33" s="6591"/>
      <c r="AX33" s="6684" t="str">
        <f>IF(TITLE_NUMBER_PR_CHANGE="",IF(TITLE_NUMBER_PR="","",TITLE_NUMBER_PR),TITLE_NUMBER_PR_CHANGE)</f>
        <v>27-2139</v>
      </c>
      <c r="AY33" s="6684"/>
      <c r="AZ33" s="6684"/>
      <c r="BA33" s="6684"/>
      <c r="BB33" s="6684"/>
      <c r="BC33" s="6684"/>
      <c r="BD33" s="6591"/>
      <c r="BE33" s="439"/>
      <c r="BF33" s="393"/>
      <c r="BG33" s="481"/>
      <c r="BH33" s="481"/>
      <c r="BI33" s="481"/>
      <c r="BJ33" s="481"/>
      <c r="BK33" s="481"/>
      <c r="BL33" s="531">
        <v>0</v>
      </c>
    </row>
    <row s="560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518</v>
      </c>
      <c r="AC34" s="439"/>
      <c r="AD34" s="439"/>
      <c r="AE34" s="439"/>
      <c r="AF34" s="439"/>
      <c r="AG34" s="439"/>
      <c r="AH34" s="439"/>
      <c r="AI34" s="391" t="s">
        <v>518</v>
      </c>
      <c r="AJ34" s="6591"/>
      <c r="AK34" s="6591"/>
      <c r="AL34" s="6591"/>
      <c r="AM34" s="6591"/>
      <c r="AN34" s="6591"/>
      <c r="AO34" s="6591"/>
      <c r="AP34" s="6687" t="s">
        <v>518</v>
      </c>
      <c r="AQ34" s="6591"/>
      <c r="AR34" s="6591"/>
      <c r="AS34" s="6591"/>
      <c r="AT34" s="6591"/>
      <c r="AU34" s="6591"/>
      <c r="AV34" s="6591"/>
      <c r="AW34" s="6687" t="s">
        <v>518</v>
      </c>
      <c r="AX34" s="6591"/>
      <c r="AY34" s="6591"/>
      <c r="AZ34" s="6591"/>
      <c r="BA34" s="6591"/>
      <c r="BB34" s="6591"/>
      <c r="BC34" s="6591"/>
      <c r="BD34" s="6687" t="s">
        <v>518</v>
      </c>
      <c r="BG34" s="481"/>
      <c r="BH34" s="481"/>
      <c r="BI34" s="481"/>
      <c r="BJ34" s="481"/>
      <c r="BK34" s="481"/>
      <c r="BL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6688" t="s">
        <v>104</v>
      </c>
      <c r="AK35" s="6688"/>
      <c r="AL35" s="6688"/>
      <c r="AM35" s="6688"/>
      <c r="AN35" s="6688"/>
      <c r="AO35" s="6688"/>
      <c r="AP35" s="6688"/>
      <c r="AQ35" s="6688" t="s">
        <v>104</v>
      </c>
      <c r="AR35" s="6688"/>
      <c r="AS35" s="6688"/>
      <c r="AT35" s="6688"/>
      <c r="AU35" s="6688"/>
      <c r="AV35" s="6688"/>
      <c r="AW35" s="6688"/>
      <c r="AX35" s="6688" t="s">
        <v>104</v>
      </c>
      <c r="AY35" s="6688"/>
      <c r="AZ35" s="6688"/>
      <c r="BA35" s="6688"/>
      <c r="BB35" s="6688"/>
      <c r="BC35" s="6688"/>
      <c r="BD35" s="6688"/>
      <c r="BL35" s="1268">
        <v>14</v>
      </c>
    </row>
    <row customHeight="1" ht="14.699999999999998">
      <c r="Q36" s="489"/>
      <c r="R36" s="489"/>
      <c r="S36" s="2240" t="s">
        <v>393</v>
      </c>
      <c r="T36" s="2240"/>
      <c r="U36" s="2240"/>
      <c r="V36" s="2240"/>
      <c r="W36" s="2240"/>
      <c r="X36" s="2240"/>
      <c r="Y36" s="2240"/>
      <c r="Z36" s="2240"/>
      <c r="AA36" s="2240"/>
      <c r="AB36" s="2240"/>
      <c r="AC36" s="2240"/>
      <c r="AD36" s="2240"/>
      <c r="AE36" s="2240"/>
      <c r="AF36" s="2240"/>
      <c r="AG36" s="2240"/>
      <c r="AH36" s="2240"/>
      <c r="AI36" s="2240"/>
      <c r="AJ36" s="6689" t="s">
        <v>393</v>
      </c>
      <c r="AK36" s="6689"/>
      <c r="AL36" s="6689"/>
      <c r="AM36" s="6689"/>
      <c r="AN36" s="6689"/>
      <c r="AO36" s="6689"/>
      <c r="AP36" s="6689"/>
      <c r="AQ36" s="6689" t="s">
        <v>393</v>
      </c>
      <c r="AR36" s="6689"/>
      <c r="AS36" s="6689"/>
      <c r="AT36" s="6689"/>
      <c r="AU36" s="6689"/>
      <c r="AV36" s="6689"/>
      <c r="AW36" s="6689"/>
      <c r="AX36" s="6689" t="s">
        <v>393</v>
      </c>
      <c r="AY36" s="6689"/>
      <c r="AZ36" s="6689"/>
      <c r="BA36" s="6689"/>
      <c r="BB36" s="6689"/>
      <c r="BC36" s="6689"/>
      <c r="BD36" s="6689"/>
      <c r="BE36" s="2240"/>
      <c r="BF36" s="2240"/>
      <c r="BL36" s="1268"/>
    </row>
    <row customHeight="1" ht="14.699999999999998">
      <c r="Q37" s="489"/>
      <c r="R37" s="489"/>
      <c r="S37" s="2386" t="s">
        <v>88</v>
      </c>
      <c r="T37" s="2322" t="s">
        <v>519</v>
      </c>
      <c r="U37" s="414"/>
      <c r="V37" s="2387" t="s">
        <v>520</v>
      </c>
      <c r="W37" s="2388"/>
      <c r="X37" s="2388"/>
      <c r="Y37" s="2388"/>
      <c r="Z37" s="2388"/>
      <c r="AA37" s="2389"/>
      <c r="AB37" s="2390" t="s">
        <v>521</v>
      </c>
      <c r="AC37" s="2387" t="s">
        <v>520</v>
      </c>
      <c r="AD37" s="2388"/>
      <c r="AE37" s="2388"/>
      <c r="AF37" s="2388"/>
      <c r="AG37" s="2388"/>
      <c r="AH37" s="2389"/>
      <c r="AI37" s="2390" t="s">
        <v>522</v>
      </c>
      <c r="AJ37" s="6690" t="s">
        <v>520</v>
      </c>
      <c r="AK37" s="6691"/>
      <c r="AL37" s="6691"/>
      <c r="AM37" s="6691"/>
      <c r="AN37" s="6691"/>
      <c r="AO37" s="6692"/>
      <c r="AP37" s="6693" t="s">
        <v>521</v>
      </c>
      <c r="AQ37" s="6690" t="s">
        <v>520</v>
      </c>
      <c r="AR37" s="6691"/>
      <c r="AS37" s="6691"/>
      <c r="AT37" s="6691"/>
      <c r="AU37" s="6691"/>
      <c r="AV37" s="6692"/>
      <c r="AW37" s="6693" t="s">
        <v>521</v>
      </c>
      <c r="AX37" s="6690" t="s">
        <v>520</v>
      </c>
      <c r="AY37" s="6691"/>
      <c r="AZ37" s="6691"/>
      <c r="BA37" s="6691"/>
      <c r="BB37" s="6691"/>
      <c r="BC37" s="6692"/>
      <c r="BD37" s="6693" t="s">
        <v>521</v>
      </c>
      <c r="BE37" s="2393" t="s">
        <v>523</v>
      </c>
      <c r="BF37" s="2240"/>
      <c r="BL37" s="1268">
        <v>14</v>
      </c>
    </row>
    <row customHeight="1" ht="35.699999999999996">
      <c r="Q38" s="489"/>
      <c r="R38" s="489"/>
      <c r="S38" s="2386"/>
      <c r="T38" s="2322"/>
      <c r="U38" s="1144"/>
      <c r="V38" s="1596" t="s">
        <v>579</v>
      </c>
      <c r="W38" s="2375" t="s">
        <v>526</v>
      </c>
      <c r="X38" s="2376"/>
      <c r="Y38" s="2375" t="s">
        <v>527</v>
      </c>
      <c r="Z38" s="2382"/>
      <c r="AA38" s="2376"/>
      <c r="AB38" s="2391"/>
      <c r="AC38" s="1596" t="s">
        <v>579</v>
      </c>
      <c r="AD38" s="2375" t="s">
        <v>526</v>
      </c>
      <c r="AE38" s="2376"/>
      <c r="AF38" s="2375" t="s">
        <v>527</v>
      </c>
      <c r="AG38" s="2382"/>
      <c r="AH38" s="2376"/>
      <c r="AI38" s="2391"/>
      <c r="AJ38" s="6695" t="s">
        <v>579</v>
      </c>
      <c r="AK38" s="6696" t="s">
        <v>526</v>
      </c>
      <c r="AL38" s="6697"/>
      <c r="AM38" s="6696" t="s">
        <v>527</v>
      </c>
      <c r="AN38" s="6698"/>
      <c r="AO38" s="6697"/>
      <c r="AP38" s="6699"/>
      <c r="AQ38" s="6695" t="s">
        <v>579</v>
      </c>
      <c r="AR38" s="6696" t="s">
        <v>526</v>
      </c>
      <c r="AS38" s="6697"/>
      <c r="AT38" s="6696" t="s">
        <v>527</v>
      </c>
      <c r="AU38" s="6698"/>
      <c r="AV38" s="6697"/>
      <c r="AW38" s="6699"/>
      <c r="AX38" s="6695" t="s">
        <v>579</v>
      </c>
      <c r="AY38" s="6696" t="s">
        <v>526</v>
      </c>
      <c r="AZ38" s="6697"/>
      <c r="BA38" s="6696" t="s">
        <v>527</v>
      </c>
      <c r="BB38" s="6698"/>
      <c r="BC38" s="6697"/>
      <c r="BD38" s="6699"/>
      <c r="BE38" s="2394"/>
      <c r="BF38" s="2240"/>
      <c r="BL38" s="1268">
        <v>34</v>
      </c>
    </row>
    <row customHeight="1" ht="90.3">
      <c r="A39" s="1483"/>
      <c r="B39" s="1483" t="s">
        <v>167</v>
      </c>
      <c r="C39" s="1483" t="s">
        <v>168</v>
      </c>
      <c r="D39" s="1483" t="s">
        <v>169</v>
      </c>
      <c r="E39" s="1477" t="s">
        <v>528</v>
      </c>
      <c r="F39" s="1477" t="s">
        <v>529</v>
      </c>
      <c r="G39" s="1477" t="s">
        <v>530</v>
      </c>
      <c r="H39" s="1477"/>
      <c r="I39" s="1477" t="s">
        <v>580</v>
      </c>
      <c r="J39" s="1477" t="s">
        <v>533</v>
      </c>
      <c r="K39" s="1477" t="s">
        <v>581</v>
      </c>
      <c r="L39" s="1477" t="s">
        <v>509</v>
      </c>
      <c r="Q39" s="489"/>
      <c r="R39" s="489"/>
      <c r="S39" s="2386"/>
      <c r="T39" s="2322"/>
      <c r="U39" s="415"/>
      <c r="V39" s="1596" t="s">
        <v>608</v>
      </c>
      <c r="W39" s="1335" t="s">
        <v>609</v>
      </c>
      <c r="X39" s="1335" t="s">
        <v>584</v>
      </c>
      <c r="Y39" s="1602" t="s">
        <v>537</v>
      </c>
      <c r="Z39" s="2383" t="s">
        <v>538</v>
      </c>
      <c r="AA39" s="2384"/>
      <c r="AB39" s="2392"/>
      <c r="AC39" s="1596" t="s">
        <v>608</v>
      </c>
      <c r="AD39" s="1335" t="s">
        <v>609</v>
      </c>
      <c r="AE39" s="1335" t="s">
        <v>584</v>
      </c>
      <c r="AF39" s="1602" t="s">
        <v>537</v>
      </c>
      <c r="AG39" s="2383" t="s">
        <v>538</v>
      </c>
      <c r="AH39" s="2384"/>
      <c r="AI39" s="2392"/>
      <c r="AJ39" s="6695" t="s">
        <v>608</v>
      </c>
      <c r="AK39" s="6701" t="s">
        <v>609</v>
      </c>
      <c r="AL39" s="6701" t="s">
        <v>584</v>
      </c>
      <c r="AM39" s="6701" t="s">
        <v>537</v>
      </c>
      <c r="AN39" s="6702" t="s">
        <v>538</v>
      </c>
      <c r="AO39" s="6703"/>
      <c r="AP39" s="6704"/>
      <c r="AQ39" s="6695" t="s">
        <v>608</v>
      </c>
      <c r="AR39" s="6701" t="s">
        <v>609</v>
      </c>
      <c r="AS39" s="6701" t="s">
        <v>584</v>
      </c>
      <c r="AT39" s="6701" t="s">
        <v>537</v>
      </c>
      <c r="AU39" s="6702" t="s">
        <v>538</v>
      </c>
      <c r="AV39" s="6703"/>
      <c r="AW39" s="6704"/>
      <c r="AX39" s="6695" t="s">
        <v>608</v>
      </c>
      <c r="AY39" s="6701" t="s">
        <v>609</v>
      </c>
      <c r="AZ39" s="6701" t="s">
        <v>584</v>
      </c>
      <c r="BA39" s="6701" t="s">
        <v>537</v>
      </c>
      <c r="BB39" s="6702" t="s">
        <v>538</v>
      </c>
      <c r="BC39" s="6703"/>
      <c r="BD39" s="6704"/>
      <c r="BE39" s="2395"/>
      <c r="BF39" s="2240"/>
      <c r="BL39" s="1268">
        <v>86</v>
      </c>
    </row>
    <row s="6074"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136</v>
      </c>
      <c r="T40" s="1368" t="s">
        <v>103</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6706">
        <f>OFFSET(AJ40,0,-1)+1</f>
        <v>15</v>
      </c>
      <c r="AK40" s="6706">
        <f>OFFSET(AK40,0,-1)+1</f>
        <v>16</v>
      </c>
      <c r="AL40" s="6706">
        <f>OFFSET(AL40,0,-1)+1</f>
        <v>17</v>
      </c>
      <c r="AM40" s="6706">
        <f>OFFSET(AM40,0,-1)+1</f>
        <v>18</v>
      </c>
      <c r="AN40" s="6706">
        <f>OFFSET(AN40,0,-1)+1</f>
        <v>19</v>
      </c>
      <c r="AO40" s="6706"/>
      <c r="AP40" s="6706">
        <f>OFFSET(AP40,0,-2)+1</f>
        <v>20</v>
      </c>
      <c r="AQ40" s="6706">
        <f>OFFSET(AQ40,0,-1)+1</f>
        <v>21</v>
      </c>
      <c r="AR40" s="6706">
        <f>OFFSET(AR40,0,-1)+1</f>
        <v>22</v>
      </c>
      <c r="AS40" s="6706">
        <f>OFFSET(AS40,0,-1)+1</f>
        <v>23</v>
      </c>
      <c r="AT40" s="6706">
        <f>OFFSET(AT40,0,-1)+1</f>
        <v>24</v>
      </c>
      <c r="AU40" s="6706">
        <f>OFFSET(AU40,0,-1)+1</f>
        <v>25</v>
      </c>
      <c r="AV40" s="6706"/>
      <c r="AW40" s="6706">
        <f>OFFSET(AW40,0,-2)+1</f>
        <v>26</v>
      </c>
      <c r="AX40" s="6706">
        <f>OFFSET(AX40,0,-1)+1</f>
        <v>27</v>
      </c>
      <c r="AY40" s="6706">
        <f>OFFSET(AY40,0,-1)+1</f>
        <v>28</v>
      </c>
      <c r="AZ40" s="6706">
        <f>OFFSET(AZ40,0,-1)+1</f>
        <v>29</v>
      </c>
      <c r="BA40" s="6706">
        <f>OFFSET(BA40,0,-1)+1</f>
        <v>30</v>
      </c>
      <c r="BB40" s="6706">
        <f>OFFSET(BB40,0,-1)+1</f>
        <v>31</v>
      </c>
      <c r="BC40" s="6706"/>
      <c r="BD40" s="6706">
        <f>OFFSET(BD40,0,-2)+1</f>
        <v>32</v>
      </c>
      <c r="BE40" s="1358">
        <f>OFFSET(BE40,0,-1)</f>
        <v>32</v>
      </c>
      <c r="BF40" s="1595">
        <f>OFFSET(BF40,0,-1)+1</f>
        <v>33</v>
      </c>
      <c r="BG40" s="624"/>
      <c r="BH40" s="624"/>
      <c r="BI40" s="624"/>
      <c r="BJ40" s="624"/>
      <c r="BK40" s="624"/>
      <c r="BL40" s="609">
        <v>0</v>
      </c>
    </row>
    <row customHeight="1" ht="24">
      <c r="A41" s="1476" t="s">
        <v>297</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1</v>
      </c>
      <c r="T41" s="411" t="s">
        <v>155</v>
      </c>
      <c r="U41" s="413"/>
      <c r="V41" s="2355"/>
      <c r="W41" s="2356"/>
      <c r="X41" s="2356"/>
      <c r="Y41" s="2356"/>
      <c r="Z41" s="2356"/>
      <c r="AA41" s="2356"/>
      <c r="AB41" s="2357"/>
      <c r="AC41" s="2355" t="str">
        <f>INDEX(PT_DIFFERENTIATION_NTAR,MATCH(A41,PT_DIFFERENTIATION_NTAR_ID,0))</f>
        <v>Тариф на водоотведение</v>
      </c>
      <c r="AD41" s="2356"/>
      <c r="AE41" s="2356"/>
      <c r="AF41" s="2356"/>
      <c r="AG41" s="2356"/>
      <c r="AH41" s="2356"/>
      <c r="AI41" s="2356"/>
      <c r="AJ41" s="6593"/>
      <c r="AK41" s="6594"/>
      <c r="AL41" s="6594"/>
      <c r="AM41" s="6594"/>
      <c r="AN41" s="6594"/>
      <c r="AO41" s="6594"/>
      <c r="AP41" s="6595"/>
      <c r="AQ41" s="6593"/>
      <c r="AR41" s="6594"/>
      <c r="AS41" s="6594"/>
      <c r="AT41" s="6594"/>
      <c r="AU41" s="6594"/>
      <c r="AV41" s="6594"/>
      <c r="AW41" s="6595"/>
      <c r="AX41" s="6593"/>
      <c r="AY41" s="6594"/>
      <c r="AZ41" s="6594"/>
      <c r="BA41" s="6594"/>
      <c r="BB41" s="6594"/>
      <c r="BC41" s="6594"/>
      <c r="BD41" s="6595"/>
      <c r="BE41" s="2357"/>
      <c r="BF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41" s="613"/>
      <c r="BI41" s="613" t="str">
        <f>IF(T41="","",T41)</f>
        <v>Наименование тарифа</v>
      </c>
      <c r="BJ41" s="613"/>
      <c r="BK41" s="613"/>
      <c r="BL41" s="1268">
        <v>23</v>
      </c>
    </row>
    <row customHeight="1" ht="24">
      <c r="A42" s="1476" t="s">
        <v>297</v>
      </c>
      <c r="B42" s="1476" t="s">
        <v>298</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1.1</v>
      </c>
      <c r="T42" s="421" t="s">
        <v>490</v>
      </c>
      <c r="U42" s="413"/>
      <c r="V42" s="2355"/>
      <c r="W42" s="2356"/>
      <c r="X42" s="2356"/>
      <c r="Y42" s="2356"/>
      <c r="Z42" s="2356"/>
      <c r="AA42" s="2356"/>
      <c r="AB42" s="2357"/>
      <c r="AC42" s="2355" t="str">
        <f>INDEX(PT_DIFFERENTIATION_TER,MATCH(B42,PT_DIFFERENTIATION_TER_ID,0))</f>
        <v>Территория 1</v>
      </c>
      <c r="AD42" s="2356"/>
      <c r="AE42" s="2356"/>
      <c r="AF42" s="2356"/>
      <c r="AG42" s="2356"/>
      <c r="AH42" s="2356"/>
      <c r="AI42" s="2356"/>
      <c r="AJ42" s="6593"/>
      <c r="AK42" s="6594"/>
      <c r="AL42" s="6594"/>
      <c r="AM42" s="6594"/>
      <c r="AN42" s="6594"/>
      <c r="AO42" s="6594"/>
      <c r="AP42" s="6595"/>
      <c r="AQ42" s="6593"/>
      <c r="AR42" s="6594"/>
      <c r="AS42" s="6594"/>
      <c r="AT42" s="6594"/>
      <c r="AU42" s="6594"/>
      <c r="AV42" s="6594"/>
      <c r="AW42" s="6595"/>
      <c r="AX42" s="6593"/>
      <c r="AY42" s="6594"/>
      <c r="AZ42" s="6594"/>
      <c r="BA42" s="6594"/>
      <c r="BB42" s="6594"/>
      <c r="BC42" s="6594"/>
      <c r="BD42" s="6595"/>
      <c r="BE42" s="2357"/>
      <c r="BF42" s="1371" t="s">
        <v>491</v>
      </c>
      <c r="BH42" s="613"/>
      <c r="BI42" s="613" t="str">
        <f>IF(T42="","",T42)</f>
        <v>Территория действия тарифа</v>
      </c>
      <c r="BJ42" s="613"/>
      <c r="BK42" s="613"/>
      <c r="BL42" s="1268">
        <v>23</v>
      </c>
    </row>
    <row customHeight="1" ht="24">
      <c r="A43" s="1476" t="s">
        <v>297</v>
      </c>
      <c r="B43" s="1476" t="s">
        <v>298</v>
      </c>
      <c r="C43" s="1476" t="s">
        <v>299</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1.1.1</v>
      </c>
      <c r="T43" s="422" t="s">
        <v>606</v>
      </c>
      <c r="U43" s="413"/>
      <c r="V43" s="2355"/>
      <c r="W43" s="2356"/>
      <c r="X43" s="2356"/>
      <c r="Y43" s="2356"/>
      <c r="Z43" s="2356"/>
      <c r="AA43" s="2356"/>
      <c r="AB43" s="2357"/>
      <c r="AC43" s="2355" t="str">
        <f>INDEX(PT_DIFFERENTIATION_CS,MATCH(C43,PT_DIFFERENTIATION_CS_ID,0))</f>
        <v>с. Барабаш, с. Занадворовка</v>
      </c>
      <c r="AD43" s="2356"/>
      <c r="AE43" s="2356"/>
      <c r="AF43" s="2356"/>
      <c r="AG43" s="2356"/>
      <c r="AH43" s="2356"/>
      <c r="AI43" s="2356"/>
      <c r="AJ43" s="6593"/>
      <c r="AK43" s="6594"/>
      <c r="AL43" s="6594"/>
      <c r="AM43" s="6594"/>
      <c r="AN43" s="6594"/>
      <c r="AO43" s="6594"/>
      <c r="AP43" s="6595"/>
      <c r="AQ43" s="6593"/>
      <c r="AR43" s="6594"/>
      <c r="AS43" s="6594"/>
      <c r="AT43" s="6594"/>
      <c r="AU43" s="6594"/>
      <c r="AV43" s="6594"/>
      <c r="AW43" s="6595"/>
      <c r="AX43" s="6593"/>
      <c r="AY43" s="6594"/>
      <c r="AZ43" s="6594"/>
      <c r="BA43" s="6594"/>
      <c r="BB43" s="6594"/>
      <c r="BC43" s="6594"/>
      <c r="BD43" s="6595"/>
      <c r="BE43" s="2357"/>
      <c r="BF43" s="1371" t="s">
        <v>607</v>
      </c>
      <c r="BH43" s="613"/>
      <c r="BI43" s="613" t="str">
        <f>IF(T43="","",T43)</f>
        <v>Наименование централизованной системы водоотведения</v>
      </c>
      <c r="BJ43" s="613"/>
      <c r="BK43" s="613"/>
      <c r="BL43" s="1268">
        <v>23</v>
      </c>
    </row>
    <row customHeight="1" ht="24">
      <c r="A44" s="1476" t="s">
        <v>297</v>
      </c>
      <c r="B44" s="1476" t="s">
        <v>298</v>
      </c>
      <c r="C44" s="1476" t="s">
        <v>299</v>
      </c>
      <c r="D44" s="1476" t="s">
        <v>610</v>
      </c>
      <c r="E44" s="2372"/>
      <c r="F44" s="2372"/>
      <c r="G44" s="2372"/>
      <c r="H44" s="2372"/>
      <c r="I44" s="2369" t="str">
        <f>S43&amp;".1"</f>
        <v>1.1.1.1</v>
      </c>
      <c r="J44" s="1476"/>
      <c r="K44" s="1476"/>
      <c r="L44" s="1477"/>
      <c r="P44" s="2370">
        <v>1</v>
      </c>
      <c r="Q44" s="1594"/>
      <c r="R44" s="469"/>
      <c r="S44" s="1606" t="str">
        <f>$I44</f>
        <v>1.1.1.1</v>
      </c>
      <c r="T44" s="398" t="s">
        <v>573</v>
      </c>
      <c r="U44" s="413"/>
      <c r="V44" s="2463"/>
      <c r="W44" s="2464"/>
      <c r="X44" s="2464"/>
      <c r="Y44" s="2464"/>
      <c r="Z44" s="2464"/>
      <c r="AA44" s="2464"/>
      <c r="AB44" s="2465"/>
      <c r="AC44" s="2466"/>
      <c r="AD44" s="2467"/>
      <c r="AE44" s="2467"/>
      <c r="AF44" s="2467"/>
      <c r="AG44" s="2467"/>
      <c r="AH44" s="2467"/>
      <c r="AI44" s="2467"/>
      <c r="AJ44" s="6598"/>
      <c r="AK44" s="6599"/>
      <c r="AL44" s="6599"/>
      <c r="AM44" s="6599"/>
      <c r="AN44" s="6599"/>
      <c r="AO44" s="6599"/>
      <c r="AP44" s="6600"/>
      <c r="AQ44" s="6598"/>
      <c r="AR44" s="6599"/>
      <c r="AS44" s="6599"/>
      <c r="AT44" s="6599"/>
      <c r="AU44" s="6599"/>
      <c r="AV44" s="6599"/>
      <c r="AW44" s="6600"/>
      <c r="AX44" s="6598"/>
      <c r="AY44" s="6599"/>
      <c r="AZ44" s="6599"/>
      <c r="BA44" s="6599"/>
      <c r="BB44" s="6599"/>
      <c r="BC44" s="6599"/>
      <c r="BD44" s="6600"/>
      <c r="BE44" s="2468"/>
      <c r="BF44" s="1371" t="s">
        <v>574</v>
      </c>
      <c r="BH44" s="613"/>
      <c r="BI44" s="613" t="str">
        <f>IF(T44="","",T44)</f>
        <v>Наименование признака дифференциации</v>
      </c>
      <c r="BJ44" s="613"/>
      <c r="BK44" s="613"/>
      <c r="BL44" s="1268">
        <v>23</v>
      </c>
    </row>
    <row customHeight="1" ht="24">
      <c r="A45" s="1476" t="s">
        <v>297</v>
      </c>
      <c r="B45" s="1476" t="s">
        <v>298</v>
      </c>
      <c r="C45" s="1476" t="s">
        <v>299</v>
      </c>
      <c r="D45" s="1476" t="s">
        <v>610</v>
      </c>
      <c r="E45" s="2372"/>
      <c r="F45" s="2372"/>
      <c r="G45" s="2372"/>
      <c r="H45" s="2372"/>
      <c r="I45" s="2399"/>
      <c r="J45" s="2369" t="str">
        <f>I44&amp;".1"</f>
        <v>1.1.1.1.1</v>
      </c>
      <c r="K45" s="1476"/>
      <c r="L45" s="1477" t="s">
        <v>499</v>
      </c>
      <c r="P45" s="2370"/>
      <c r="Q45" s="2370">
        <v>1</v>
      </c>
      <c r="R45" s="470"/>
      <c r="S45" s="1606" t="str">
        <f>$J45</f>
        <v>1.1.1.1.1</v>
      </c>
      <c r="T45" s="399" t="s">
        <v>500</v>
      </c>
      <c r="U45" s="413"/>
      <c r="V45" s="2358"/>
      <c r="W45" s="2359"/>
      <c r="X45" s="2359"/>
      <c r="Y45" s="2359"/>
      <c r="Z45" s="2359"/>
      <c r="AA45" s="2359"/>
      <c r="AB45" s="2360"/>
      <c r="AC45" s="2358" t="s">
        <v>611</v>
      </c>
      <c r="AD45" s="2359"/>
      <c r="AE45" s="2359"/>
      <c r="AF45" s="2359"/>
      <c r="AG45" s="2359"/>
      <c r="AH45" s="2359"/>
      <c r="AI45" s="2359"/>
      <c r="AJ45" s="6601"/>
      <c r="AK45" s="6602"/>
      <c r="AL45" s="6602"/>
      <c r="AM45" s="6602"/>
      <c r="AN45" s="6602"/>
      <c r="AO45" s="6602"/>
      <c r="AP45" s="6603"/>
      <c r="AQ45" s="6601"/>
      <c r="AR45" s="6602"/>
      <c r="AS45" s="6602"/>
      <c r="AT45" s="6602"/>
      <c r="AU45" s="6602"/>
      <c r="AV45" s="6602"/>
      <c r="AW45" s="6603"/>
      <c r="AX45" s="6601"/>
      <c r="AY45" s="6602"/>
      <c r="AZ45" s="6602"/>
      <c r="BA45" s="6602"/>
      <c r="BB45" s="6602"/>
      <c r="BC45" s="6602"/>
      <c r="BD45" s="6603"/>
      <c r="BE45" s="2360"/>
      <c r="BF45" s="1420" t="s">
        <v>575</v>
      </c>
      <c r="BH45" s="613"/>
      <c r="BI45" s="613" t="str">
        <f>IF(T45="","",T45)</f>
        <v>Группа потребителей</v>
      </c>
      <c r="BJ45" s="613"/>
      <c r="BK45" s="613"/>
      <c r="BL45" s="1268">
        <v>23</v>
      </c>
    </row>
    <row customHeight="1" ht="24">
      <c r="A46" s="1476" t="s">
        <v>297</v>
      </c>
      <c r="B46" s="1476" t="s">
        <v>298</v>
      </c>
      <c r="C46" s="1476" t="s">
        <v>299</v>
      </c>
      <c r="D46" s="1476" t="s">
        <v>610</v>
      </c>
      <c r="E46" s="2372"/>
      <c r="F46" s="2372"/>
      <c r="G46" s="2372"/>
      <c r="H46" s="2372"/>
      <c r="I46" s="2399"/>
      <c r="J46" s="2399"/>
      <c r="K46" s="2369" t="str">
        <f>J45&amp;".1"</f>
        <v>1.1.1.1.1.1</v>
      </c>
      <c r="L46" s="1477"/>
      <c r="P46" s="2370"/>
      <c r="Q46" s="2370"/>
      <c r="R46" s="470">
        <v>1</v>
      </c>
      <c r="S46" s="1606" t="str">
        <f>$K46</f>
        <v>1.1.1.1.1.1</v>
      </c>
      <c r="T46" s="1550" t="s">
        <v>569</v>
      </c>
      <c r="U46" s="413"/>
      <c r="V46" s="6604"/>
      <c r="W46" s="6604"/>
      <c r="X46" s="6605"/>
      <c r="Y46" s="6606"/>
      <c r="Z46" s="6607" t="s">
        <v>66</v>
      </c>
      <c r="AA46" s="6707"/>
      <c r="AB46" s="6607" t="s">
        <v>66</v>
      </c>
      <c r="AC46" s="864">
        <v>18.08</v>
      </c>
      <c r="AD46" s="864"/>
      <c r="AE46" s="1370"/>
      <c r="AF46" s="6606">
        <v>45658.59033564815</v>
      </c>
      <c r="AG46" s="2220" t="s">
        <v>66</v>
      </c>
      <c r="AH46" s="6707">
        <v>46022.59048611111</v>
      </c>
      <c r="AI46" s="2220" t="s">
        <v>66</v>
      </c>
      <c r="AJ46" s="6604">
        <v>16.89</v>
      </c>
      <c r="AK46" s="6604"/>
      <c r="AL46" s="6605"/>
      <c r="AM46" s="6606">
        <v>46023.60065972222</v>
      </c>
      <c r="AN46" s="6607" t="s">
        <v>66</v>
      </c>
      <c r="AO46" s="6707">
        <v>46387.60077546296</v>
      </c>
      <c r="AP46" s="6607" t="s">
        <v>66</v>
      </c>
      <c r="AQ46" s="6604">
        <v>17.39</v>
      </c>
      <c r="AR46" s="6604"/>
      <c r="AS46" s="6605"/>
      <c r="AT46" s="6606">
        <v>46388.60314814815</v>
      </c>
      <c r="AU46" s="6607" t="s">
        <v>66</v>
      </c>
      <c r="AV46" s="6707">
        <v>46752.60334490741</v>
      </c>
      <c r="AW46" s="6607" t="s">
        <v>66</v>
      </c>
      <c r="AX46" s="6604">
        <v>17.91</v>
      </c>
      <c r="AY46" s="6604"/>
      <c r="AZ46" s="6605"/>
      <c r="BA46" s="6606">
        <v>46753.60428240741</v>
      </c>
      <c r="BB46" s="6607" t="s">
        <v>66</v>
      </c>
      <c r="BC46" s="6707">
        <v>47118.60444444444</v>
      </c>
      <c r="BD46" s="6607" t="s">
        <v>66</v>
      </c>
      <c r="BE46" s="1551"/>
      <c r="BF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624">
        <f>STRCHECKDATE(V47:BE47)</f>
      </c>
      <c r="BH46" s="613"/>
      <c r="BI46" s="613" t="str">
        <f>IF(T46="","",T46)</f>
        <v>без НДС</v>
      </c>
      <c r="BJ46" s="613"/>
      <c r="BK46" s="613"/>
      <c r="BL46" s="1268">
        <v>23</v>
      </c>
    </row>
    <row customHeight="1" ht="0">
      <c r="A47" s="1476" t="s">
        <v>297</v>
      </c>
      <c r="B47" s="1476" t="s">
        <v>298</v>
      </c>
      <c r="C47" s="1476" t="s">
        <v>299</v>
      </c>
      <c r="D47" s="1476" t="s">
        <v>610</v>
      </c>
      <c r="E47" s="2372"/>
      <c r="F47" s="2372"/>
      <c r="G47" s="2372"/>
      <c r="H47" s="2372"/>
      <c r="I47" s="2399"/>
      <c r="J47" s="2399"/>
      <c r="K47" s="2369"/>
      <c r="L47" s="1477"/>
      <c r="P47" s="2370"/>
      <c r="Q47" s="2370"/>
      <c r="R47" s="470"/>
      <c r="S47" s="1603"/>
      <c r="T47" s="413"/>
      <c r="U47" s="413"/>
      <c r="V47" s="6609"/>
      <c r="W47" s="6609"/>
      <c r="X47" s="6610" t="str">
        <f>Y46&amp;"-"&amp;AA46</f>
        <v>-</v>
      </c>
      <c r="Y47" s="6611"/>
      <c r="Z47" s="6607"/>
      <c r="AA47" s="6708"/>
      <c r="AB47" s="6607"/>
      <c r="AC47" s="438"/>
      <c r="AD47" s="438"/>
      <c r="AE47" s="441" t="str">
        <f>AF46&amp;"-"&amp;AH46</f>
        <v>45658.59033564815-46022.59048611111</v>
      </c>
      <c r="AF47" s="2379"/>
      <c r="AG47" s="2220"/>
      <c r="AH47" s="2401"/>
      <c r="AI47" s="2220"/>
      <c r="AJ47" s="6609"/>
      <c r="AK47" s="6609"/>
      <c r="AL47" s="6610" t="str">
        <f>AM46&amp;"-"&amp;AO46</f>
        <v>46023.60065972222-46387.60077546296</v>
      </c>
      <c r="AM47" s="6611"/>
      <c r="AN47" s="6607"/>
      <c r="AO47" s="6708"/>
      <c r="AP47" s="6607"/>
      <c r="AQ47" s="6609"/>
      <c r="AR47" s="6609"/>
      <c r="AS47" s="6610" t="str">
        <f>AT46&amp;"-"&amp;AV46</f>
        <v>46388.60314814815-46752.60334490741</v>
      </c>
      <c r="AT47" s="6611"/>
      <c r="AU47" s="6607"/>
      <c r="AV47" s="6708"/>
      <c r="AW47" s="6607"/>
      <c r="AX47" s="6609"/>
      <c r="AY47" s="6609"/>
      <c r="AZ47" s="6610" t="str">
        <f>BA46&amp;"-"&amp;BC46</f>
        <v>46753.60428240741-47118.60444444444</v>
      </c>
      <c r="BA47" s="6611"/>
      <c r="BB47" s="6607"/>
      <c r="BC47" s="6708"/>
      <c r="BD47" s="6607"/>
      <c r="BE47" s="1552"/>
      <c r="BF47" s="2462"/>
      <c r="BH47" s="613"/>
      <c r="BI47" s="613" t="str">
        <f>IF(T47="","",T47)</f>
        <v/>
      </c>
      <c r="BJ47" s="613"/>
      <c r="BK47" s="613"/>
      <c r="BL47" s="1268">
        <v>0</v>
      </c>
    </row>
    <row customHeight="1" ht="21">
      <c r="A48" s="1476" t="s">
        <v>297</v>
      </c>
      <c r="B48" s="1476" t="s">
        <v>298</v>
      </c>
      <c r="C48" s="1476" t="s">
        <v>299</v>
      </c>
      <c r="D48" s="1476" t="s">
        <v>610</v>
      </c>
      <c r="E48" s="2372"/>
      <c r="F48" s="2372"/>
      <c r="G48" s="2372"/>
      <c r="H48" s="2372"/>
      <c r="I48" s="2399"/>
      <c r="J48" s="2369"/>
      <c r="K48" s="1476"/>
      <c r="L48" s="1477"/>
      <c r="P48" s="2370"/>
      <c r="Q48" s="2370"/>
      <c r="R48" s="469"/>
      <c r="S48" s="1391"/>
      <c r="T48" s="400" t="s">
        <v>576</v>
      </c>
      <c r="U48" s="480"/>
      <c r="V48" s="480"/>
      <c r="W48" s="480"/>
      <c r="X48" s="480"/>
      <c r="Y48" s="480"/>
      <c r="Z48" s="480"/>
      <c r="AA48" s="480"/>
      <c r="AB48" s="480"/>
      <c r="AC48" s="480"/>
      <c r="AD48" s="480"/>
      <c r="AE48" s="480"/>
      <c r="AF48" s="480"/>
      <c r="AG48" s="480"/>
      <c r="AH48" s="480"/>
      <c r="AI48" s="480"/>
      <c r="AJ48" s="6709"/>
      <c r="AK48" s="6710"/>
      <c r="AL48" s="6711"/>
      <c r="AM48" s="6712"/>
      <c r="AN48" s="6713"/>
      <c r="AO48" s="6714"/>
      <c r="AP48" s="6715"/>
      <c r="AQ48" s="6716"/>
      <c r="AR48" s="6717"/>
      <c r="AS48" s="6718"/>
      <c r="AT48" s="6719"/>
      <c r="AU48" s="6720"/>
      <c r="AV48" s="6721"/>
      <c r="AW48" s="6722"/>
      <c r="AX48" s="6723"/>
      <c r="AY48" s="6724"/>
      <c r="AZ48" s="6725"/>
      <c r="BA48" s="6726"/>
      <c r="BB48" s="6727"/>
      <c r="BC48" s="6728"/>
      <c r="BD48" s="6729"/>
      <c r="BE48" s="480"/>
      <c r="BF48" s="1371" t="s">
        <v>577</v>
      </c>
      <c r="BH48" s="613"/>
      <c r="BI48" s="613" t="str">
        <f>IF(T48="","",T48)</f>
        <v>Добавить значение признака дифференциации</v>
      </c>
      <c r="BJ48" s="613"/>
      <c r="BK48" s="613"/>
      <c r="BL48" s="1268">
        <v>20</v>
      </c>
    </row>
    <row customHeight="1" ht="22.049999999999997">
      <c r="A49" s="1476" t="s">
        <v>297</v>
      </c>
      <c r="B49" s="1476" t="s">
        <v>298</v>
      </c>
      <c r="C49" s="1476" t="s">
        <v>299</v>
      </c>
      <c r="D49" s="1476" t="s">
        <v>610</v>
      </c>
      <c r="E49" s="2372"/>
      <c r="F49" s="2372"/>
      <c r="G49" s="2372"/>
      <c r="H49" s="2372"/>
      <c r="I49" s="2369"/>
      <c r="J49" s="1476"/>
      <c r="K49" s="1476"/>
      <c r="L49" s="1477"/>
      <c r="P49" s="2370"/>
      <c r="Q49" s="1594"/>
      <c r="R49" s="469"/>
      <c r="S49" s="1391"/>
      <c r="T49" s="478" t="s">
        <v>505</v>
      </c>
      <c r="U49" s="480"/>
      <c r="V49" s="480"/>
      <c r="W49" s="480"/>
      <c r="X49" s="480"/>
      <c r="Y49" s="480"/>
      <c r="Z49" s="480"/>
      <c r="AA49" s="480"/>
      <c r="AB49" s="479"/>
      <c r="AC49" s="480"/>
      <c r="AD49" s="480"/>
      <c r="AE49" s="480"/>
      <c r="AF49" s="480"/>
      <c r="AG49" s="480"/>
      <c r="AH49" s="480"/>
      <c r="AI49" s="479"/>
      <c r="AJ49" s="6730"/>
      <c r="AK49" s="6731"/>
      <c r="AL49" s="6732"/>
      <c r="AM49" s="6733"/>
      <c r="AN49" s="6734"/>
      <c r="AO49" s="6735"/>
      <c r="AP49" s="6736"/>
      <c r="AQ49" s="6737"/>
      <c r="AR49" s="6738"/>
      <c r="AS49" s="6739"/>
      <c r="AT49" s="6740"/>
      <c r="AU49" s="6741"/>
      <c r="AV49" s="6742"/>
      <c r="AW49" s="6743"/>
      <c r="AX49" s="6744"/>
      <c r="AY49" s="6745"/>
      <c r="AZ49" s="6746"/>
      <c r="BA49" s="6747"/>
      <c r="BB49" s="6748"/>
      <c r="BC49" s="6749"/>
      <c r="BD49" s="6750"/>
      <c r="BE49" s="480"/>
      <c r="BF49" s="1553"/>
      <c r="BH49" s="613"/>
      <c r="BI49" s="613" t="str">
        <f>IF(T49="","",T49)</f>
        <v>Добавить группу потребителей</v>
      </c>
      <c r="BJ49" s="613"/>
      <c r="BK49" s="613"/>
      <c r="BL49" s="1268">
        <v>21</v>
      </c>
    </row>
    <row customHeight="1" ht="22.049999999999997">
      <c r="A50" s="1476" t="s">
        <v>297</v>
      </c>
      <c r="B50" s="1476" t="s">
        <v>298</v>
      </c>
      <c r="C50" s="1476" t="s">
        <v>299</v>
      </c>
      <c r="D50" s="1476" t="s">
        <v>610</v>
      </c>
      <c r="E50" s="2372"/>
      <c r="F50" s="2372"/>
      <c r="G50" s="2372"/>
      <c r="H50" s="2371"/>
      <c r="I50" s="1476"/>
      <c r="J50" s="1476"/>
      <c r="K50" s="1476"/>
      <c r="L50" s="1477"/>
      <c r="M50" s="1478"/>
      <c r="N50" s="1478"/>
      <c r="O50" s="650"/>
      <c r="P50" s="473"/>
      <c r="Q50" s="488"/>
      <c r="R50" s="468"/>
      <c r="S50" s="1391"/>
      <c r="T50" s="485" t="s">
        <v>578</v>
      </c>
      <c r="U50" s="480"/>
      <c r="V50" s="480"/>
      <c r="W50" s="480"/>
      <c r="X50" s="480"/>
      <c r="Y50" s="480"/>
      <c r="Z50" s="480"/>
      <c r="AA50" s="480"/>
      <c r="AB50" s="479"/>
      <c r="AC50" s="480"/>
      <c r="AD50" s="480"/>
      <c r="AE50" s="480"/>
      <c r="AF50" s="480"/>
      <c r="AG50" s="480"/>
      <c r="AH50" s="480"/>
      <c r="AI50" s="479"/>
      <c r="AJ50" s="6751"/>
      <c r="AK50" s="6752"/>
      <c r="AL50" s="6753"/>
      <c r="AM50" s="6754"/>
      <c r="AN50" s="6755"/>
      <c r="AO50" s="6756"/>
      <c r="AP50" s="6757"/>
      <c r="AQ50" s="6758"/>
      <c r="AR50" s="6759"/>
      <c r="AS50" s="6760"/>
      <c r="AT50" s="6761"/>
      <c r="AU50" s="6762"/>
      <c r="AV50" s="6763"/>
      <c r="AW50" s="6764"/>
      <c r="AX50" s="6765"/>
      <c r="AY50" s="6766"/>
      <c r="AZ50" s="6767"/>
      <c r="BA50" s="6768"/>
      <c r="BB50" s="6769"/>
      <c r="BC50" s="6770"/>
      <c r="BD50" s="6771"/>
      <c r="BE50" s="480"/>
      <c r="BF50" s="416"/>
      <c r="BH50" s="613"/>
      <c r="BI50" s="613" t="str">
        <f>IF(T50="","",T50)</f>
        <v>Добавить наименование признака дифференциации</v>
      </c>
      <c r="BJ50" s="613"/>
      <c r="BK50" s="613"/>
      <c r="BL50" s="1268">
        <v>21</v>
      </c>
    </row>
    <row s="6772" customFormat="1" customHeight="1" ht="23.25">
      <c r="A51" s="6773"/>
      <c r="B51" s="6773"/>
      <c r="C51" s="6773" t="s">
        <v>301</v>
      </c>
      <c r="D51" s="6773"/>
      <c r="E51" s="6774"/>
      <c r="F51" s="6774"/>
      <c r="G51" s="6775" t="s">
        <v>103</v>
      </c>
      <c r="H51" s="6773"/>
      <c r="I51" s="6773"/>
      <c r="J51" s="6773"/>
      <c r="K51" s="6773"/>
      <c r="L51" s="6776"/>
      <c r="M51" s="6777"/>
      <c r="N51" s="6777"/>
      <c r="O51" s="6777"/>
      <c r="P51" s="6778"/>
      <c r="Q51" s="6779"/>
      <c r="R51" s="6780"/>
      <c r="S51" s="6781" t="str">
        <f>INDEX(PT_DIFFERENTIATION_NUM_CS,MATCH(C51,PT_DIFFERENTIATION_CS_ID,0))</f>
        <v>1.1.2</v>
      </c>
      <c r="T51" s="6782" t="s">
        <v>606</v>
      </c>
      <c r="U51" s="6783"/>
      <c r="V51" s="6593"/>
      <c r="W51" s="6594"/>
      <c r="X51" s="6594"/>
      <c r="Y51" s="6594"/>
      <c r="Z51" s="6594"/>
      <c r="AA51" s="6594"/>
      <c r="AB51" s="6595"/>
      <c r="AC51" s="6593" t="str">
        <f>INDEX(PT_DIFFERENTIATION_CS,MATCH(C51,PT_DIFFERENTIATION_CS_ID,0))</f>
        <v>с. Безверхово, п. Перевозное</v>
      </c>
      <c r="AD51" s="6594"/>
      <c r="AE51" s="6594"/>
      <c r="AF51" s="6594"/>
      <c r="AG51" s="6594"/>
      <c r="AH51" s="6594"/>
      <c r="AI51" s="6594"/>
      <c r="AJ51" s="6593"/>
      <c r="AK51" s="6594"/>
      <c r="AL51" s="6594"/>
      <c r="AM51" s="6594"/>
      <c r="AN51" s="6594"/>
      <c r="AO51" s="6594"/>
      <c r="AP51" s="6595"/>
      <c r="AQ51" s="6593"/>
      <c r="AR51" s="6594"/>
      <c r="AS51" s="6594"/>
      <c r="AT51" s="6594"/>
      <c r="AU51" s="6594"/>
      <c r="AV51" s="6594"/>
      <c r="AW51" s="6595"/>
      <c r="AX51" s="6593"/>
      <c r="AY51" s="6594"/>
      <c r="AZ51" s="6594"/>
      <c r="BA51" s="6594"/>
      <c r="BB51" s="6594"/>
      <c r="BC51" s="6594"/>
      <c r="BD51" s="6595"/>
      <c r="BE51" s="6595"/>
      <c r="BF51" s="6784" t="s">
        <v>607</v>
      </c>
      <c r="BG51" s="6687"/>
      <c r="BH51" s="6785"/>
      <c r="BI51" s="6785" t="str">
        <f>IF(T51="","",T51)</f>
        <v>Наименование централизованной системы водоотведения</v>
      </c>
      <c r="BJ51" s="6785"/>
      <c r="BK51" s="6785"/>
      <c r="BL51" s="6591">
        <v>0</v>
      </c>
    </row>
    <row s="6786" customFormat="1" customHeight="1" ht="23.25">
      <c r="A52" s="6773"/>
      <c r="B52" s="6773"/>
      <c r="C52" s="6773"/>
      <c r="D52" s="6773"/>
      <c r="E52" s="6774"/>
      <c r="F52" s="6774"/>
      <c r="G52" s="6774">
        <v>1</v>
      </c>
      <c r="H52" s="6774"/>
      <c r="I52" s="6787" t="str">
        <f>S51&amp;".1"</f>
        <v>1.1.2.1</v>
      </c>
      <c r="J52" s="6773"/>
      <c r="K52" s="6773"/>
      <c r="L52" s="6776"/>
      <c r="M52" s="6788"/>
      <c r="N52" s="6788"/>
      <c r="O52" s="6788"/>
      <c r="P52" s="6789">
        <v>1</v>
      </c>
      <c r="Q52" s="6789"/>
      <c r="R52" s="6790"/>
      <c r="S52" s="6781" t="str">
        <f>$I52</f>
        <v>1.1.2.1</v>
      </c>
      <c r="T52" s="6791" t="s">
        <v>573</v>
      </c>
      <c r="U52" s="6783"/>
      <c r="V52" s="6598"/>
      <c r="W52" s="6599"/>
      <c r="X52" s="6599"/>
      <c r="Y52" s="6599"/>
      <c r="Z52" s="6599"/>
      <c r="AA52" s="6599"/>
      <c r="AB52" s="6600"/>
      <c r="AC52" s="6792"/>
      <c r="AD52" s="6793"/>
      <c r="AE52" s="6793"/>
      <c r="AF52" s="6793"/>
      <c r="AG52" s="6793"/>
      <c r="AH52" s="6793"/>
      <c r="AI52" s="6793"/>
      <c r="AJ52" s="6598"/>
      <c r="AK52" s="6599"/>
      <c r="AL52" s="6599"/>
      <c r="AM52" s="6599"/>
      <c r="AN52" s="6599"/>
      <c r="AO52" s="6599"/>
      <c r="AP52" s="6600"/>
      <c r="AQ52" s="6598"/>
      <c r="AR52" s="6599"/>
      <c r="AS52" s="6599"/>
      <c r="AT52" s="6599"/>
      <c r="AU52" s="6599"/>
      <c r="AV52" s="6599"/>
      <c r="AW52" s="6600"/>
      <c r="AX52" s="6598"/>
      <c r="AY52" s="6599"/>
      <c r="AZ52" s="6599"/>
      <c r="BA52" s="6599"/>
      <c r="BB52" s="6599"/>
      <c r="BC52" s="6599"/>
      <c r="BD52" s="6600"/>
      <c r="BE52" s="6794"/>
      <c r="BF52" s="6784" t="s">
        <v>574</v>
      </c>
      <c r="BG52" s="6687"/>
      <c r="BH52" s="6785"/>
      <c r="BI52" s="6785" t="str">
        <f>IF(T52="","",T52)</f>
        <v>Наименование признака дифференциации</v>
      </c>
      <c r="BJ52" s="6785"/>
      <c r="BK52" s="6785"/>
      <c r="BL52" s="6591">
        <v>0</v>
      </c>
    </row>
    <row s="6795" customFormat="1" customHeight="1" ht="23.25">
      <c r="A53" s="6773"/>
      <c r="B53" s="6773"/>
      <c r="C53" s="6773"/>
      <c r="D53" s="6773"/>
      <c r="E53" s="6774"/>
      <c r="F53" s="6774"/>
      <c r="G53" s="6774">
        <v>1</v>
      </c>
      <c r="H53" s="6774"/>
      <c r="I53" s="6796"/>
      <c r="J53" s="6787" t="str">
        <f>I52&amp;".1"</f>
        <v>1.1.2.1.1</v>
      </c>
      <c r="K53" s="6773"/>
      <c r="L53" s="6776" t="s">
        <v>499</v>
      </c>
      <c r="M53" s="6788"/>
      <c r="N53" s="6788"/>
      <c r="O53" s="6788"/>
      <c r="P53" s="6789"/>
      <c r="Q53" s="6789">
        <v>1</v>
      </c>
      <c r="R53" s="6797"/>
      <c r="S53" s="6781" t="str">
        <f>$J53</f>
        <v>1.1.2.1.1</v>
      </c>
      <c r="T53" s="6798" t="s">
        <v>500</v>
      </c>
      <c r="U53" s="6783"/>
      <c r="V53" s="6601"/>
      <c r="W53" s="6602"/>
      <c r="X53" s="6602"/>
      <c r="Y53" s="6602"/>
      <c r="Z53" s="6602"/>
      <c r="AA53" s="6602"/>
      <c r="AB53" s="6603"/>
      <c r="AC53" s="6601" t="s">
        <v>611</v>
      </c>
      <c r="AD53" s="6602"/>
      <c r="AE53" s="6602"/>
      <c r="AF53" s="6602"/>
      <c r="AG53" s="6602"/>
      <c r="AH53" s="6602"/>
      <c r="AI53" s="6602"/>
      <c r="AJ53" s="6601"/>
      <c r="AK53" s="6602"/>
      <c r="AL53" s="6602"/>
      <c r="AM53" s="6602"/>
      <c r="AN53" s="6602"/>
      <c r="AO53" s="6602"/>
      <c r="AP53" s="6603"/>
      <c r="AQ53" s="6601"/>
      <c r="AR53" s="6602"/>
      <c r="AS53" s="6602"/>
      <c r="AT53" s="6602"/>
      <c r="AU53" s="6602"/>
      <c r="AV53" s="6602"/>
      <c r="AW53" s="6603"/>
      <c r="AX53" s="6601"/>
      <c r="AY53" s="6602"/>
      <c r="AZ53" s="6602"/>
      <c r="BA53" s="6602"/>
      <c r="BB53" s="6602"/>
      <c r="BC53" s="6602"/>
      <c r="BD53" s="6603"/>
      <c r="BE53" s="6603"/>
      <c r="BF53" s="6799" t="s">
        <v>575</v>
      </c>
      <c r="BG53" s="6687"/>
      <c r="BH53" s="6785"/>
      <c r="BI53" s="6785" t="str">
        <f>IF(T53="","",T53)</f>
        <v>Группа потребителей</v>
      </c>
      <c r="BJ53" s="6785"/>
      <c r="BK53" s="6785"/>
      <c r="BL53" s="6591">
        <v>0</v>
      </c>
    </row>
    <row s="6800" customFormat="1" customHeight="1" ht="23.25">
      <c r="A54" s="6773"/>
      <c r="B54" s="6773"/>
      <c r="C54" s="6773"/>
      <c r="D54" s="6773"/>
      <c r="E54" s="6774"/>
      <c r="F54" s="6774"/>
      <c r="G54" s="6774">
        <v>1</v>
      </c>
      <c r="H54" s="6774"/>
      <c r="I54" s="6796"/>
      <c r="J54" s="6796"/>
      <c r="K54" s="6787" t="str">
        <f>J53&amp;".1"</f>
        <v>1.1.2.1.1.1</v>
      </c>
      <c r="L54" s="6776"/>
      <c r="M54" s="6788"/>
      <c r="N54" s="6788"/>
      <c r="O54" s="6788"/>
      <c r="P54" s="6789"/>
      <c r="Q54" s="6789"/>
      <c r="R54" s="6797">
        <v>1</v>
      </c>
      <c r="S54" s="6781" t="str">
        <f>$K54</f>
        <v>1.1.2.1.1.1</v>
      </c>
      <c r="T54" s="6801" t="s">
        <v>569</v>
      </c>
      <c r="U54" s="6783"/>
      <c r="V54" s="6604"/>
      <c r="W54" s="6604"/>
      <c r="X54" s="6605"/>
      <c r="Y54" s="6606"/>
      <c r="Z54" s="6607" t="s">
        <v>66</v>
      </c>
      <c r="AA54" s="6606"/>
      <c r="AB54" s="6607" t="s">
        <v>66</v>
      </c>
      <c r="AC54" s="6604">
        <v>17.92</v>
      </c>
      <c r="AD54" s="6604"/>
      <c r="AE54" s="6605"/>
      <c r="AF54" s="6606">
        <v>45658.61216435185</v>
      </c>
      <c r="AG54" s="6607" t="s">
        <v>66</v>
      </c>
      <c r="AH54" s="6707">
        <v>46022.61199074074</v>
      </c>
      <c r="AI54" s="6607" t="s">
        <v>66</v>
      </c>
      <c r="AJ54" s="6604">
        <v>16.81</v>
      </c>
      <c r="AK54" s="6604"/>
      <c r="AL54" s="6605"/>
      <c r="AM54" s="6606">
        <v>46023.64461805556</v>
      </c>
      <c r="AN54" s="6607" t="s">
        <v>66</v>
      </c>
      <c r="AO54" s="6606">
        <v>46387.64474537037</v>
      </c>
      <c r="AP54" s="6607" t="s">
        <v>66</v>
      </c>
      <c r="AQ54" s="6604">
        <v>17.31</v>
      </c>
      <c r="AR54" s="6604"/>
      <c r="AS54" s="6605"/>
      <c r="AT54" s="6606">
        <v>46388.64488425926</v>
      </c>
      <c r="AU54" s="6607" t="s">
        <v>66</v>
      </c>
      <c r="AV54" s="6606">
        <v>46752.64498842593</v>
      </c>
      <c r="AW54" s="6607" t="s">
        <v>66</v>
      </c>
      <c r="AX54" s="6604">
        <v>17.82</v>
      </c>
      <c r="AY54" s="6604"/>
      <c r="AZ54" s="6605"/>
      <c r="BA54" s="6606">
        <v>46753.645266203705</v>
      </c>
      <c r="BB54" s="6607" t="s">
        <v>66</v>
      </c>
      <c r="BC54" s="6606">
        <v>47118.645416666666</v>
      </c>
      <c r="BD54" s="6607" t="s">
        <v>66</v>
      </c>
      <c r="BE54" s="6802"/>
      <c r="BF54" s="68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54" s="6687">
        <f>STRCHECKDATE(V55:BE55)</f>
      </c>
      <c r="BH54" s="6785"/>
      <c r="BI54" s="6785" t="str">
        <f>IF(T54="","",T54)</f>
        <v>без НДС</v>
      </c>
      <c r="BJ54" s="6785"/>
      <c r="BK54" s="6785"/>
      <c r="BL54" s="6591">
        <v>0</v>
      </c>
    </row>
    <row s="6804" customFormat="1" customHeight="1" ht="14.25">
      <c r="A55" s="6773"/>
      <c r="B55" s="6773"/>
      <c r="C55" s="6773"/>
      <c r="D55" s="6773"/>
      <c r="E55" s="6774"/>
      <c r="F55" s="6774"/>
      <c r="G55" s="6774">
        <v>1</v>
      </c>
      <c r="H55" s="6774"/>
      <c r="I55" s="6796"/>
      <c r="J55" s="6796"/>
      <c r="K55" s="6787"/>
      <c r="L55" s="6776"/>
      <c r="M55" s="6788"/>
      <c r="N55" s="6788"/>
      <c r="O55" s="6788"/>
      <c r="P55" s="6789"/>
      <c r="Q55" s="6789"/>
      <c r="R55" s="6797"/>
      <c r="S55" s="6805"/>
      <c r="T55" s="6783"/>
      <c r="U55" s="6783"/>
      <c r="V55" s="6609"/>
      <c r="W55" s="6609"/>
      <c r="X55" s="6610" t="str">
        <f>Y54&amp;"-"&amp;AA54</f>
        <v>-</v>
      </c>
      <c r="Y55" s="6611"/>
      <c r="Z55" s="6607"/>
      <c r="AA55" s="6611"/>
      <c r="AB55" s="6607"/>
      <c r="AC55" s="6609"/>
      <c r="AD55" s="6609"/>
      <c r="AE55" s="6610" t="str">
        <f>AF54&amp;"-"&amp;AH54</f>
        <v>45658.61216435185-46022.61199074074</v>
      </c>
      <c r="AF55" s="6611"/>
      <c r="AG55" s="6607"/>
      <c r="AH55" s="6708"/>
      <c r="AI55" s="6607"/>
      <c r="AJ55" s="6609"/>
      <c r="AK55" s="6609"/>
      <c r="AL55" s="6610" t="str">
        <f>AM54&amp;"-"&amp;AO54</f>
        <v>46023.64461805556-46387.64474537037</v>
      </c>
      <c r="AM55" s="6611"/>
      <c r="AN55" s="6607"/>
      <c r="AO55" s="6611"/>
      <c r="AP55" s="6607"/>
      <c r="AQ55" s="6609"/>
      <c r="AR55" s="6609"/>
      <c r="AS55" s="6610" t="str">
        <f>AT54&amp;"-"&amp;AV54</f>
        <v>46388.64488425926-46752.64498842593</v>
      </c>
      <c r="AT55" s="6611"/>
      <c r="AU55" s="6607"/>
      <c r="AV55" s="6611"/>
      <c r="AW55" s="6607"/>
      <c r="AX55" s="6609"/>
      <c r="AY55" s="6609"/>
      <c r="AZ55" s="6610" t="str">
        <f>BA54&amp;"-"&amp;BC54</f>
        <v>46753.645266203705-47118.645416666666</v>
      </c>
      <c r="BA55" s="6611"/>
      <c r="BB55" s="6607"/>
      <c r="BC55" s="6611"/>
      <c r="BD55" s="6607"/>
      <c r="BE55" s="6806"/>
      <c r="BF55" s="6803"/>
      <c r="BG55" s="6687"/>
      <c r="BH55" s="6785"/>
      <c r="BI55" s="6785" t="str">
        <f>IF(T55="","",T55)</f>
        <v/>
      </c>
      <c r="BJ55" s="6785"/>
      <c r="BK55" s="6785"/>
      <c r="BL55" s="6591">
        <v>0</v>
      </c>
    </row>
    <row s="6807" customFormat="1" customHeight="1" ht="21">
      <c r="A56" s="6773"/>
      <c r="B56" s="6773"/>
      <c r="C56" s="6773"/>
      <c r="D56" s="6773"/>
      <c r="E56" s="6774"/>
      <c r="F56" s="6774"/>
      <c r="G56" s="6774">
        <v>1</v>
      </c>
      <c r="H56" s="6774"/>
      <c r="I56" s="6796"/>
      <c r="J56" s="6787"/>
      <c r="K56" s="6773"/>
      <c r="L56" s="6776"/>
      <c r="M56" s="6788"/>
      <c r="N56" s="6788"/>
      <c r="O56" s="6788"/>
      <c r="P56" s="6789"/>
      <c r="Q56" s="6789"/>
      <c r="R56" s="6790"/>
      <c r="S56" s="6808"/>
      <c r="T56" s="6809" t="s">
        <v>576</v>
      </c>
      <c r="U56" s="6810"/>
      <c r="V56" s="6811"/>
      <c r="W56" s="6812"/>
      <c r="X56" s="6813"/>
      <c r="Y56" s="6814"/>
      <c r="Z56" s="6815"/>
      <c r="AA56" s="6816"/>
      <c r="AB56" s="6817"/>
      <c r="AC56" s="6818"/>
      <c r="AD56" s="6819"/>
      <c r="AE56" s="6820"/>
      <c r="AF56" s="6821"/>
      <c r="AG56" s="6822"/>
      <c r="AH56" s="6823"/>
      <c r="AI56" s="6824"/>
      <c r="AJ56" s="6825"/>
      <c r="AK56" s="6826"/>
      <c r="AL56" s="6827"/>
      <c r="AM56" s="6828"/>
      <c r="AN56" s="6829"/>
      <c r="AO56" s="6830"/>
      <c r="AP56" s="6831"/>
      <c r="AQ56" s="6832"/>
      <c r="AR56" s="6833"/>
      <c r="AS56" s="6834"/>
      <c r="AT56" s="6835"/>
      <c r="AU56" s="6836"/>
      <c r="AV56" s="6837"/>
      <c r="AW56" s="6838"/>
      <c r="AX56" s="6839"/>
      <c r="AY56" s="6840"/>
      <c r="AZ56" s="6841"/>
      <c r="BA56" s="6842"/>
      <c r="BB56" s="6843"/>
      <c r="BC56" s="6844"/>
      <c r="BD56" s="6845"/>
      <c r="BE56" s="6846"/>
      <c r="BF56" s="6784" t="s">
        <v>577</v>
      </c>
      <c r="BG56" s="6687"/>
      <c r="BH56" s="6785"/>
      <c r="BI56" s="6785" t="str">
        <f>IF(T56="","",T56)</f>
        <v>Добавить значение признака дифференциации</v>
      </c>
      <c r="BJ56" s="6785"/>
      <c r="BK56" s="6785"/>
      <c r="BL56" s="6591">
        <v>0</v>
      </c>
    </row>
    <row s="6847" customFormat="1" customHeight="1" ht="21">
      <c r="A57" s="6773"/>
      <c r="B57" s="6773"/>
      <c r="C57" s="6773"/>
      <c r="D57" s="6773"/>
      <c r="E57" s="6774"/>
      <c r="F57" s="6774"/>
      <c r="G57" s="6774">
        <v>1</v>
      </c>
      <c r="H57" s="6774"/>
      <c r="I57" s="6787"/>
      <c r="J57" s="6773"/>
      <c r="K57" s="6773"/>
      <c r="L57" s="6776"/>
      <c r="M57" s="6788"/>
      <c r="N57" s="6788"/>
      <c r="O57" s="6788"/>
      <c r="P57" s="6789"/>
      <c r="Q57" s="6789"/>
      <c r="R57" s="6790"/>
      <c r="S57" s="6848"/>
      <c r="T57" s="6849" t="s">
        <v>505</v>
      </c>
      <c r="U57" s="6850"/>
      <c r="V57" s="6851"/>
      <c r="W57" s="6852"/>
      <c r="X57" s="6853"/>
      <c r="Y57" s="6854"/>
      <c r="Z57" s="6855"/>
      <c r="AA57" s="6856"/>
      <c r="AB57" s="6857"/>
      <c r="AC57" s="6858"/>
      <c r="AD57" s="6859"/>
      <c r="AE57" s="6860"/>
      <c r="AF57" s="6861"/>
      <c r="AG57" s="6862"/>
      <c r="AH57" s="6863"/>
      <c r="AI57" s="6864"/>
      <c r="AJ57" s="6865"/>
      <c r="AK57" s="6866"/>
      <c r="AL57" s="6867"/>
      <c r="AM57" s="6868"/>
      <c r="AN57" s="6869"/>
      <c r="AO57" s="6870"/>
      <c r="AP57" s="6871"/>
      <c r="AQ57" s="6872"/>
      <c r="AR57" s="6873"/>
      <c r="AS57" s="6874"/>
      <c r="AT57" s="6875"/>
      <c r="AU57" s="6876"/>
      <c r="AV57" s="6877"/>
      <c r="AW57" s="6878"/>
      <c r="AX57" s="6879"/>
      <c r="AY57" s="6880"/>
      <c r="AZ57" s="6881"/>
      <c r="BA57" s="6882"/>
      <c r="BB57" s="6883"/>
      <c r="BC57" s="6884"/>
      <c r="BD57" s="6885"/>
      <c r="BE57" s="6886"/>
      <c r="BF57" s="6887"/>
      <c r="BG57" s="6687"/>
      <c r="BH57" s="6785"/>
      <c r="BI57" s="6785" t="str">
        <f>IF(T57="","",T57)</f>
        <v>Добавить группу потребителей</v>
      </c>
      <c r="BJ57" s="6785"/>
      <c r="BK57" s="6785"/>
      <c r="BL57" s="6591">
        <v>0</v>
      </c>
    </row>
    <row s="6888" customFormat="1" customHeight="1" ht="21">
      <c r="A58" s="6773"/>
      <c r="B58" s="6773"/>
      <c r="C58" s="6773"/>
      <c r="D58" s="6773"/>
      <c r="E58" s="6774"/>
      <c r="F58" s="6774"/>
      <c r="G58" s="6774">
        <v>1</v>
      </c>
      <c r="H58" s="6775"/>
      <c r="I58" s="6773"/>
      <c r="J58" s="6773"/>
      <c r="K58" s="6773"/>
      <c r="L58" s="6776"/>
      <c r="M58" s="6777"/>
      <c r="N58" s="6777"/>
      <c r="O58" s="6678"/>
      <c r="P58" s="6889"/>
      <c r="Q58" s="6890"/>
      <c r="R58" s="6891"/>
      <c r="S58" s="6892"/>
      <c r="T58" s="6893" t="s">
        <v>578</v>
      </c>
      <c r="U58" s="6894"/>
      <c r="V58" s="6895"/>
      <c r="W58" s="6896"/>
      <c r="X58" s="6897"/>
      <c r="Y58" s="6898"/>
      <c r="Z58" s="6899"/>
      <c r="AA58" s="6900"/>
      <c r="AB58" s="6901"/>
      <c r="AC58" s="6902"/>
      <c r="AD58" s="6903"/>
      <c r="AE58" s="6904"/>
      <c r="AF58" s="6905"/>
      <c r="AG58" s="6906"/>
      <c r="AH58" s="6907"/>
      <c r="AI58" s="6908"/>
      <c r="AJ58" s="6909"/>
      <c r="AK58" s="6910"/>
      <c r="AL58" s="6911"/>
      <c r="AM58" s="6912"/>
      <c r="AN58" s="6913"/>
      <c r="AO58" s="6914"/>
      <c r="AP58" s="6915"/>
      <c r="AQ58" s="6916"/>
      <c r="AR58" s="6917"/>
      <c r="AS58" s="6918"/>
      <c r="AT58" s="6919"/>
      <c r="AU58" s="6920"/>
      <c r="AV58" s="6921"/>
      <c r="AW58" s="6922"/>
      <c r="AX58" s="6923"/>
      <c r="AY58" s="6924"/>
      <c r="AZ58" s="6925"/>
      <c r="BA58" s="6926"/>
      <c r="BB58" s="6927"/>
      <c r="BC58" s="6928"/>
      <c r="BD58" s="6929"/>
      <c r="BE58" s="6930"/>
      <c r="BF58" s="6931"/>
      <c r="BG58" s="6687"/>
      <c r="BH58" s="6785"/>
      <c r="BI58" s="6785" t="str">
        <f>IF(T58="","",T58)</f>
        <v>Добавить наименование признака дифференциации</v>
      </c>
      <c r="BJ58" s="6785"/>
      <c r="BK58" s="6785"/>
      <c r="BL58" s="6591">
        <v>0</v>
      </c>
    </row>
    <row s="6932" customFormat="1" customHeight="1" ht="23.25">
      <c r="A59" s="6773"/>
      <c r="B59" s="6773"/>
      <c r="C59" s="6773" t="s">
        <v>304</v>
      </c>
      <c r="D59" s="6773"/>
      <c r="E59" s="6774"/>
      <c r="F59" s="6774"/>
      <c r="G59" s="6775" t="s">
        <v>90</v>
      </c>
      <c r="H59" s="6773"/>
      <c r="I59" s="6773"/>
      <c r="J59" s="6773"/>
      <c r="K59" s="6773"/>
      <c r="L59" s="6776"/>
      <c r="M59" s="6777"/>
      <c r="N59" s="6777"/>
      <c r="O59" s="6777"/>
      <c r="P59" s="6778"/>
      <c r="Q59" s="6779"/>
      <c r="R59" s="6780"/>
      <c r="S59" s="6781" t="str">
        <f>INDEX(PT_DIFFERENTIATION_NUM_CS,MATCH(C59,PT_DIFFERENTIATION_CS_ID,0))</f>
        <v>1.1.3</v>
      </c>
      <c r="T59" s="6782" t="s">
        <v>606</v>
      </c>
      <c r="U59" s="6783"/>
      <c r="V59" s="6593"/>
      <c r="W59" s="6594"/>
      <c r="X59" s="6594"/>
      <c r="Y59" s="6594"/>
      <c r="Z59" s="6594"/>
      <c r="AA59" s="6594"/>
      <c r="AB59" s="6595"/>
      <c r="AC59" s="6593" t="str">
        <f>INDEX(PT_DIFFERENTIATION_CS,MATCH(C59,PT_DIFFERENTIATION_CS_ID,0))</f>
        <v>пгт. Краскино</v>
      </c>
      <c r="AD59" s="6594"/>
      <c r="AE59" s="6594"/>
      <c r="AF59" s="6594"/>
      <c r="AG59" s="6594"/>
      <c r="AH59" s="6594"/>
      <c r="AI59" s="6594"/>
      <c r="AJ59" s="6593"/>
      <c r="AK59" s="6594"/>
      <c r="AL59" s="6594"/>
      <c r="AM59" s="6594"/>
      <c r="AN59" s="6594"/>
      <c r="AO59" s="6594"/>
      <c r="AP59" s="6595"/>
      <c r="AQ59" s="6593"/>
      <c r="AR59" s="6594"/>
      <c r="AS59" s="6594"/>
      <c r="AT59" s="6594"/>
      <c r="AU59" s="6594"/>
      <c r="AV59" s="6594"/>
      <c r="AW59" s="6595"/>
      <c r="AX59" s="6593"/>
      <c r="AY59" s="6594"/>
      <c r="AZ59" s="6594"/>
      <c r="BA59" s="6594"/>
      <c r="BB59" s="6594"/>
      <c r="BC59" s="6594"/>
      <c r="BD59" s="6595"/>
      <c r="BE59" s="6595"/>
      <c r="BF59" s="6784" t="s">
        <v>607</v>
      </c>
      <c r="BG59" s="6687"/>
      <c r="BH59" s="6785"/>
      <c r="BI59" s="6785" t="str">
        <f>IF(T59="","",T59)</f>
        <v>Наименование централизованной системы водоотведения</v>
      </c>
      <c r="BJ59" s="6785"/>
      <c r="BK59" s="6785"/>
      <c r="BL59" s="6591">
        <v>0</v>
      </c>
    </row>
    <row s="6933" customFormat="1" customHeight="1" ht="23.25">
      <c r="A60" s="6773"/>
      <c r="B60" s="6773"/>
      <c r="C60" s="6773"/>
      <c r="D60" s="6773"/>
      <c r="E60" s="6774"/>
      <c r="F60" s="6774"/>
      <c r="G60" s="6774" t="s">
        <v>103</v>
      </c>
      <c r="H60" s="6774"/>
      <c r="I60" s="6787" t="str">
        <f>S59&amp;".1"</f>
        <v>1.1.3.1</v>
      </c>
      <c r="J60" s="6773"/>
      <c r="K60" s="6773"/>
      <c r="L60" s="6776"/>
      <c r="M60" s="6788"/>
      <c r="N60" s="6788"/>
      <c r="O60" s="6788"/>
      <c r="P60" s="6789">
        <v>1</v>
      </c>
      <c r="Q60" s="6789"/>
      <c r="R60" s="6790"/>
      <c r="S60" s="6781" t="str">
        <f>$I60</f>
        <v>1.1.3.1</v>
      </c>
      <c r="T60" s="6791" t="s">
        <v>573</v>
      </c>
      <c r="U60" s="6783"/>
      <c r="V60" s="6598"/>
      <c r="W60" s="6599"/>
      <c r="X60" s="6599"/>
      <c r="Y60" s="6599"/>
      <c r="Z60" s="6599"/>
      <c r="AA60" s="6599"/>
      <c r="AB60" s="6600"/>
      <c r="AC60" s="6792"/>
      <c r="AD60" s="6793"/>
      <c r="AE60" s="6793"/>
      <c r="AF60" s="6793"/>
      <c r="AG60" s="6793"/>
      <c r="AH60" s="6793"/>
      <c r="AI60" s="6793"/>
      <c r="AJ60" s="6598"/>
      <c r="AK60" s="6599"/>
      <c r="AL60" s="6599"/>
      <c r="AM60" s="6599"/>
      <c r="AN60" s="6599"/>
      <c r="AO60" s="6599"/>
      <c r="AP60" s="6600"/>
      <c r="AQ60" s="6598"/>
      <c r="AR60" s="6599"/>
      <c r="AS60" s="6599"/>
      <c r="AT60" s="6599"/>
      <c r="AU60" s="6599"/>
      <c r="AV60" s="6599"/>
      <c r="AW60" s="6600"/>
      <c r="AX60" s="6598"/>
      <c r="AY60" s="6599"/>
      <c r="AZ60" s="6599"/>
      <c r="BA60" s="6599"/>
      <c r="BB60" s="6599"/>
      <c r="BC60" s="6599"/>
      <c r="BD60" s="6600"/>
      <c r="BE60" s="6794"/>
      <c r="BF60" s="6784" t="s">
        <v>574</v>
      </c>
      <c r="BG60" s="6687"/>
      <c r="BH60" s="6785"/>
      <c r="BI60" s="6785" t="str">
        <f>IF(T60="","",T60)</f>
        <v>Наименование признака дифференциации</v>
      </c>
      <c r="BJ60" s="6785"/>
      <c r="BK60" s="6785"/>
      <c r="BL60" s="6591">
        <v>0</v>
      </c>
    </row>
    <row s="6934" customFormat="1" customHeight="1" ht="23.25">
      <c r="A61" s="6773"/>
      <c r="B61" s="6773"/>
      <c r="C61" s="6773"/>
      <c r="D61" s="6773"/>
      <c r="E61" s="6774"/>
      <c r="F61" s="6774"/>
      <c r="G61" s="6774" t="s">
        <v>103</v>
      </c>
      <c r="H61" s="6774"/>
      <c r="I61" s="6796"/>
      <c r="J61" s="6787" t="str">
        <f>I60&amp;".1"</f>
        <v>1.1.3.1.1</v>
      </c>
      <c r="K61" s="6773"/>
      <c r="L61" s="6776" t="s">
        <v>499</v>
      </c>
      <c r="M61" s="6788"/>
      <c r="N61" s="6788"/>
      <c r="O61" s="6788"/>
      <c r="P61" s="6789"/>
      <c r="Q61" s="6789">
        <v>1</v>
      </c>
      <c r="R61" s="6797"/>
      <c r="S61" s="6781" t="str">
        <f>$J61</f>
        <v>1.1.3.1.1</v>
      </c>
      <c r="T61" s="6798" t="s">
        <v>500</v>
      </c>
      <c r="U61" s="6783"/>
      <c r="V61" s="6601"/>
      <c r="W61" s="6602"/>
      <c r="X61" s="6602"/>
      <c r="Y61" s="6602"/>
      <c r="Z61" s="6602"/>
      <c r="AA61" s="6602"/>
      <c r="AB61" s="6603"/>
      <c r="AC61" s="6601" t="s">
        <v>611</v>
      </c>
      <c r="AD61" s="6602"/>
      <c r="AE61" s="6602"/>
      <c r="AF61" s="6602"/>
      <c r="AG61" s="6602"/>
      <c r="AH61" s="6602"/>
      <c r="AI61" s="6602"/>
      <c r="AJ61" s="6601"/>
      <c r="AK61" s="6602"/>
      <c r="AL61" s="6602"/>
      <c r="AM61" s="6602"/>
      <c r="AN61" s="6602"/>
      <c r="AO61" s="6602"/>
      <c r="AP61" s="6603"/>
      <c r="AQ61" s="6601"/>
      <c r="AR61" s="6602"/>
      <c r="AS61" s="6602"/>
      <c r="AT61" s="6602"/>
      <c r="AU61" s="6602"/>
      <c r="AV61" s="6602"/>
      <c r="AW61" s="6603"/>
      <c r="AX61" s="6601"/>
      <c r="AY61" s="6602"/>
      <c r="AZ61" s="6602"/>
      <c r="BA61" s="6602"/>
      <c r="BB61" s="6602"/>
      <c r="BC61" s="6602"/>
      <c r="BD61" s="6603"/>
      <c r="BE61" s="6603"/>
      <c r="BF61" s="6799" t="s">
        <v>575</v>
      </c>
      <c r="BG61" s="6687"/>
      <c r="BH61" s="6785"/>
      <c r="BI61" s="6785" t="str">
        <f>IF(T61="","",T61)</f>
        <v>Группа потребителей</v>
      </c>
      <c r="BJ61" s="6785"/>
      <c r="BK61" s="6785"/>
      <c r="BL61" s="6591">
        <v>0</v>
      </c>
    </row>
    <row s="6935" customFormat="1" customHeight="1" ht="23.25">
      <c r="A62" s="6773"/>
      <c r="B62" s="6773"/>
      <c r="C62" s="6773"/>
      <c r="D62" s="6773"/>
      <c r="E62" s="6774"/>
      <c r="F62" s="6774"/>
      <c r="G62" s="6774" t="s">
        <v>103</v>
      </c>
      <c r="H62" s="6774"/>
      <c r="I62" s="6796"/>
      <c r="J62" s="6796"/>
      <c r="K62" s="6787" t="str">
        <f>J61&amp;".1"</f>
        <v>1.1.3.1.1.1</v>
      </c>
      <c r="L62" s="6776"/>
      <c r="M62" s="6788"/>
      <c r="N62" s="6788"/>
      <c r="O62" s="6788"/>
      <c r="P62" s="6789"/>
      <c r="Q62" s="6789"/>
      <c r="R62" s="6797">
        <v>1</v>
      </c>
      <c r="S62" s="6781" t="str">
        <f>$K62</f>
        <v>1.1.3.1.1.1</v>
      </c>
      <c r="T62" s="6801" t="s">
        <v>569</v>
      </c>
      <c r="U62" s="6783"/>
      <c r="V62" s="6604"/>
      <c r="W62" s="6604"/>
      <c r="X62" s="6605"/>
      <c r="Y62" s="6606"/>
      <c r="Z62" s="6607" t="s">
        <v>66</v>
      </c>
      <c r="AA62" s="6606"/>
      <c r="AB62" s="6607" t="s">
        <v>66</v>
      </c>
      <c r="AC62" s="6604">
        <v>13.89</v>
      </c>
      <c r="AD62" s="6604"/>
      <c r="AE62" s="6605"/>
      <c r="AF62" s="6606">
        <v>45658.61230324074</v>
      </c>
      <c r="AG62" s="6607" t="s">
        <v>66</v>
      </c>
      <c r="AH62" s="6707">
        <v>46022.61240740741</v>
      </c>
      <c r="AI62" s="6607" t="s">
        <v>66</v>
      </c>
      <c r="AJ62" s="6604">
        <v>12.96</v>
      </c>
      <c r="AK62" s="6604"/>
      <c r="AL62" s="6605"/>
      <c r="AM62" s="6606">
        <v>46023.64438657407</v>
      </c>
      <c r="AN62" s="6607" t="s">
        <v>66</v>
      </c>
      <c r="AO62" s="6606">
        <v>46387.64420138889</v>
      </c>
      <c r="AP62" s="6607" t="s">
        <v>66</v>
      </c>
      <c r="AQ62" s="6604">
        <v>13.35</v>
      </c>
      <c r="AR62" s="6604"/>
      <c r="AS62" s="6605"/>
      <c r="AT62" s="6606">
        <v>46388.64402777778</v>
      </c>
      <c r="AU62" s="6607" t="s">
        <v>66</v>
      </c>
      <c r="AV62" s="6606">
        <v>46752.64393518519</v>
      </c>
      <c r="AW62" s="6607" t="s">
        <v>66</v>
      </c>
      <c r="AX62" s="6604">
        <v>13.74</v>
      </c>
      <c r="AY62" s="6604"/>
      <c r="AZ62" s="6605"/>
      <c r="BA62" s="6606">
        <v>46753.64380787037</v>
      </c>
      <c r="BB62" s="6607" t="s">
        <v>66</v>
      </c>
      <c r="BC62" s="6606">
        <v>47118.6437037037</v>
      </c>
      <c r="BD62" s="6607" t="s">
        <v>66</v>
      </c>
      <c r="BE62" s="6802"/>
      <c r="BF62" s="68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62" s="6687">
        <f>STRCHECKDATE(V63:BE63)</f>
      </c>
      <c r="BH62" s="6785"/>
      <c r="BI62" s="6785" t="str">
        <f>IF(T62="","",T62)</f>
        <v>без НДС</v>
      </c>
      <c r="BJ62" s="6785"/>
      <c r="BK62" s="6785"/>
      <c r="BL62" s="6591">
        <v>0</v>
      </c>
    </row>
    <row s="6936" customFormat="1" customHeight="1" ht="14.25">
      <c r="A63" s="6773"/>
      <c r="B63" s="6773"/>
      <c r="C63" s="6773"/>
      <c r="D63" s="6773"/>
      <c r="E63" s="6774"/>
      <c r="F63" s="6774"/>
      <c r="G63" s="6774" t="s">
        <v>103</v>
      </c>
      <c r="H63" s="6774"/>
      <c r="I63" s="6796"/>
      <c r="J63" s="6796"/>
      <c r="K63" s="6787"/>
      <c r="L63" s="6776"/>
      <c r="M63" s="6788"/>
      <c r="N63" s="6788"/>
      <c r="O63" s="6788"/>
      <c r="P63" s="6789"/>
      <c r="Q63" s="6789"/>
      <c r="R63" s="6797"/>
      <c r="S63" s="6805"/>
      <c r="T63" s="6783"/>
      <c r="U63" s="6783"/>
      <c r="V63" s="6609"/>
      <c r="W63" s="6609"/>
      <c r="X63" s="6610" t="str">
        <f>Y62&amp;"-"&amp;AA62</f>
        <v>-</v>
      </c>
      <c r="Y63" s="6611"/>
      <c r="Z63" s="6607"/>
      <c r="AA63" s="6611"/>
      <c r="AB63" s="6607"/>
      <c r="AC63" s="6609"/>
      <c r="AD63" s="6609"/>
      <c r="AE63" s="6610" t="str">
        <f>AF62&amp;"-"&amp;AH62</f>
        <v>45658.61230324074-46022.61240740741</v>
      </c>
      <c r="AF63" s="6611"/>
      <c r="AG63" s="6607"/>
      <c r="AH63" s="6708"/>
      <c r="AI63" s="6607"/>
      <c r="AJ63" s="6609"/>
      <c r="AK63" s="6609"/>
      <c r="AL63" s="6610" t="str">
        <f>AM62&amp;"-"&amp;AO62</f>
        <v>46023.64438657407-46387.64420138889</v>
      </c>
      <c r="AM63" s="6611"/>
      <c r="AN63" s="6607"/>
      <c r="AO63" s="6611"/>
      <c r="AP63" s="6607"/>
      <c r="AQ63" s="6609"/>
      <c r="AR63" s="6609"/>
      <c r="AS63" s="6610" t="str">
        <f>AT62&amp;"-"&amp;AV62</f>
        <v>46388.64402777778-46752.64393518519</v>
      </c>
      <c r="AT63" s="6611"/>
      <c r="AU63" s="6607"/>
      <c r="AV63" s="6611"/>
      <c r="AW63" s="6607"/>
      <c r="AX63" s="6609"/>
      <c r="AY63" s="6609"/>
      <c r="AZ63" s="6610" t="str">
        <f>BA62&amp;"-"&amp;BC62</f>
        <v>46753.64380787037-47118.6437037037</v>
      </c>
      <c r="BA63" s="6611"/>
      <c r="BB63" s="6607"/>
      <c r="BC63" s="6611"/>
      <c r="BD63" s="6607"/>
      <c r="BE63" s="6806"/>
      <c r="BF63" s="6803"/>
      <c r="BG63" s="6687"/>
      <c r="BH63" s="6785"/>
      <c r="BI63" s="6785" t="str">
        <f>IF(T63="","",T63)</f>
        <v/>
      </c>
      <c r="BJ63" s="6785"/>
      <c r="BK63" s="6785"/>
      <c r="BL63" s="6591">
        <v>0</v>
      </c>
    </row>
    <row s="6937" customFormat="1" customHeight="1" ht="21">
      <c r="A64" s="6773"/>
      <c r="B64" s="6773"/>
      <c r="C64" s="6773"/>
      <c r="D64" s="6773"/>
      <c r="E64" s="6774"/>
      <c r="F64" s="6774"/>
      <c r="G64" s="6774" t="s">
        <v>103</v>
      </c>
      <c r="H64" s="6774"/>
      <c r="I64" s="6796"/>
      <c r="J64" s="6787"/>
      <c r="K64" s="6773"/>
      <c r="L64" s="6776"/>
      <c r="M64" s="6788"/>
      <c r="N64" s="6788"/>
      <c r="O64" s="6788"/>
      <c r="P64" s="6789"/>
      <c r="Q64" s="6789"/>
      <c r="R64" s="6790"/>
      <c r="S64" s="6938"/>
      <c r="T64" s="6939" t="s">
        <v>576</v>
      </c>
      <c r="U64" s="6940"/>
      <c r="V64" s="6941"/>
      <c r="W64" s="6942"/>
      <c r="X64" s="6943"/>
      <c r="Y64" s="6944"/>
      <c r="Z64" s="6945"/>
      <c r="AA64" s="6946"/>
      <c r="AB64" s="6947"/>
      <c r="AC64" s="6948"/>
      <c r="AD64" s="6949"/>
      <c r="AE64" s="6950"/>
      <c r="AF64" s="6951"/>
      <c r="AG64" s="6952"/>
      <c r="AH64" s="6953"/>
      <c r="AI64" s="6954"/>
      <c r="AJ64" s="6955"/>
      <c r="AK64" s="6956"/>
      <c r="AL64" s="6957"/>
      <c r="AM64" s="6958"/>
      <c r="AN64" s="6959"/>
      <c r="AO64" s="6960"/>
      <c r="AP64" s="6961"/>
      <c r="AQ64" s="6962"/>
      <c r="AR64" s="6963"/>
      <c r="AS64" s="6964"/>
      <c r="AT64" s="6965"/>
      <c r="AU64" s="6966"/>
      <c r="AV64" s="6967"/>
      <c r="AW64" s="6968"/>
      <c r="AX64" s="6969"/>
      <c r="AY64" s="6970"/>
      <c r="AZ64" s="6971"/>
      <c r="BA64" s="6972"/>
      <c r="BB64" s="6973"/>
      <c r="BC64" s="6974"/>
      <c r="BD64" s="6975"/>
      <c r="BE64" s="6976"/>
      <c r="BF64" s="6784" t="s">
        <v>577</v>
      </c>
      <c r="BG64" s="6687"/>
      <c r="BH64" s="6785"/>
      <c r="BI64" s="6785" t="str">
        <f>IF(T64="","",T64)</f>
        <v>Добавить значение признака дифференциации</v>
      </c>
      <c r="BJ64" s="6785"/>
      <c r="BK64" s="6785"/>
      <c r="BL64" s="6591">
        <v>0</v>
      </c>
    </row>
    <row s="6977" customFormat="1" customHeight="1" ht="21">
      <c r="A65" s="6773"/>
      <c r="B65" s="6773"/>
      <c r="C65" s="6773"/>
      <c r="D65" s="6773"/>
      <c r="E65" s="6774"/>
      <c r="F65" s="6774"/>
      <c r="G65" s="6774" t="s">
        <v>103</v>
      </c>
      <c r="H65" s="6774"/>
      <c r="I65" s="6787"/>
      <c r="J65" s="6773"/>
      <c r="K65" s="6773"/>
      <c r="L65" s="6776"/>
      <c r="M65" s="6788"/>
      <c r="N65" s="6788"/>
      <c r="O65" s="6788"/>
      <c r="P65" s="6789"/>
      <c r="Q65" s="6789"/>
      <c r="R65" s="6790"/>
      <c r="S65" s="6978"/>
      <c r="T65" s="6979" t="s">
        <v>505</v>
      </c>
      <c r="U65" s="6980"/>
      <c r="V65" s="6981"/>
      <c r="W65" s="6982"/>
      <c r="X65" s="6983"/>
      <c r="Y65" s="6984"/>
      <c r="Z65" s="6985"/>
      <c r="AA65" s="6986"/>
      <c r="AB65" s="6987"/>
      <c r="AC65" s="6988"/>
      <c r="AD65" s="6989"/>
      <c r="AE65" s="6990"/>
      <c r="AF65" s="6991"/>
      <c r="AG65" s="6992"/>
      <c r="AH65" s="6993"/>
      <c r="AI65" s="6994"/>
      <c r="AJ65" s="6995"/>
      <c r="AK65" s="6996"/>
      <c r="AL65" s="6997"/>
      <c r="AM65" s="6998"/>
      <c r="AN65" s="6999"/>
      <c r="AO65" s="7000"/>
      <c r="AP65" s="7001"/>
      <c r="AQ65" s="7002"/>
      <c r="AR65" s="7003"/>
      <c r="AS65" s="7004"/>
      <c r="AT65" s="7005"/>
      <c r="AU65" s="7006"/>
      <c r="AV65" s="7007"/>
      <c r="AW65" s="7008"/>
      <c r="AX65" s="7009"/>
      <c r="AY65" s="7010"/>
      <c r="AZ65" s="7011"/>
      <c r="BA65" s="7012"/>
      <c r="BB65" s="7013"/>
      <c r="BC65" s="7014"/>
      <c r="BD65" s="7015"/>
      <c r="BE65" s="7016"/>
      <c r="BF65" s="7017"/>
      <c r="BG65" s="6687"/>
      <c r="BH65" s="6785"/>
      <c r="BI65" s="6785" t="str">
        <f>IF(T65="","",T65)</f>
        <v>Добавить группу потребителей</v>
      </c>
      <c r="BJ65" s="6785"/>
      <c r="BK65" s="6785"/>
      <c r="BL65" s="6591">
        <v>0</v>
      </c>
    </row>
    <row s="7018" customFormat="1" customHeight="1" ht="21">
      <c r="A66" s="6773"/>
      <c r="B66" s="6773"/>
      <c r="C66" s="6773"/>
      <c r="D66" s="6773"/>
      <c r="E66" s="6774"/>
      <c r="F66" s="6774"/>
      <c r="G66" s="6774" t="s">
        <v>103</v>
      </c>
      <c r="H66" s="6775"/>
      <c r="I66" s="6773"/>
      <c r="J66" s="6773"/>
      <c r="K66" s="6773"/>
      <c r="L66" s="6776"/>
      <c r="M66" s="6777"/>
      <c r="N66" s="6777"/>
      <c r="O66" s="6678"/>
      <c r="P66" s="6889"/>
      <c r="Q66" s="6890"/>
      <c r="R66" s="6891"/>
      <c r="S66" s="7019"/>
      <c r="T66" s="7020" t="s">
        <v>578</v>
      </c>
      <c r="U66" s="7021"/>
      <c r="V66" s="7022"/>
      <c r="W66" s="7023"/>
      <c r="X66" s="7024"/>
      <c r="Y66" s="7025"/>
      <c r="Z66" s="7026"/>
      <c r="AA66" s="7027"/>
      <c r="AB66" s="7028"/>
      <c r="AC66" s="7029"/>
      <c r="AD66" s="7030"/>
      <c r="AE66" s="7031"/>
      <c r="AF66" s="7032"/>
      <c r="AG66" s="7033"/>
      <c r="AH66" s="7034"/>
      <c r="AI66" s="7035"/>
      <c r="AJ66" s="7036"/>
      <c r="AK66" s="7037"/>
      <c r="AL66" s="7038"/>
      <c r="AM66" s="7039"/>
      <c r="AN66" s="7040"/>
      <c r="AO66" s="7041"/>
      <c r="AP66" s="7042"/>
      <c r="AQ66" s="7043"/>
      <c r="AR66" s="7044"/>
      <c r="AS66" s="7045"/>
      <c r="AT66" s="7046"/>
      <c r="AU66" s="7047"/>
      <c r="AV66" s="7048"/>
      <c r="AW66" s="7049"/>
      <c r="AX66" s="7050"/>
      <c r="AY66" s="7051"/>
      <c r="AZ66" s="7052"/>
      <c r="BA66" s="7053"/>
      <c r="BB66" s="7054"/>
      <c r="BC66" s="7055"/>
      <c r="BD66" s="7056"/>
      <c r="BE66" s="7057"/>
      <c r="BF66" s="7058"/>
      <c r="BG66" s="6687"/>
      <c r="BH66" s="6785"/>
      <c r="BI66" s="6785" t="str">
        <f>IF(T66="","",T66)</f>
        <v>Добавить наименование признака дифференциации</v>
      </c>
      <c r="BJ66" s="6785"/>
      <c r="BK66" s="6785"/>
      <c r="BL66" s="6591">
        <v>0</v>
      </c>
    </row>
    <row s="7059" customFormat="1" customHeight="1" ht="23.25">
      <c r="A67" s="6773"/>
      <c r="B67" s="6773"/>
      <c r="C67" s="6773" t="s">
        <v>307</v>
      </c>
      <c r="D67" s="6773"/>
      <c r="E67" s="6774"/>
      <c r="F67" s="6774"/>
      <c r="G67" s="6775" t="s">
        <v>91</v>
      </c>
      <c r="H67" s="6773"/>
      <c r="I67" s="6773"/>
      <c r="J67" s="6773"/>
      <c r="K67" s="6773"/>
      <c r="L67" s="6776"/>
      <c r="M67" s="6777"/>
      <c r="N67" s="6777"/>
      <c r="O67" s="6777"/>
      <c r="P67" s="6778"/>
      <c r="Q67" s="6779"/>
      <c r="R67" s="6780"/>
      <c r="S67" s="6781" t="str">
        <f>INDEX(PT_DIFFERENTIATION_NUM_CS,MATCH(C67,PT_DIFFERENTIATION_CS_ID,0))</f>
        <v>1.1.4</v>
      </c>
      <c r="T67" s="6782" t="s">
        <v>606</v>
      </c>
      <c r="U67" s="6783"/>
      <c r="V67" s="6593"/>
      <c r="W67" s="6594"/>
      <c r="X67" s="6594"/>
      <c r="Y67" s="6594"/>
      <c r="Z67" s="6594"/>
      <c r="AA67" s="6594"/>
      <c r="AB67" s="6595"/>
      <c r="AC67" s="6593" t="str">
        <f>INDEX(PT_DIFFERENTIATION_CS,MATCH(C67,PT_DIFFERENTIATION_CS_ID,0))</f>
        <v>пгт. Посьет</v>
      </c>
      <c r="AD67" s="6594"/>
      <c r="AE67" s="6594"/>
      <c r="AF67" s="6594"/>
      <c r="AG67" s="6594"/>
      <c r="AH67" s="6594"/>
      <c r="AI67" s="6594"/>
      <c r="AJ67" s="6593"/>
      <c r="AK67" s="6594"/>
      <c r="AL67" s="6594"/>
      <c r="AM67" s="6594"/>
      <c r="AN67" s="6594"/>
      <c r="AO67" s="6594"/>
      <c r="AP67" s="6595"/>
      <c r="AQ67" s="6593"/>
      <c r="AR67" s="6594"/>
      <c r="AS67" s="6594"/>
      <c r="AT67" s="6594"/>
      <c r="AU67" s="6594"/>
      <c r="AV67" s="6594"/>
      <c r="AW67" s="6595"/>
      <c r="AX67" s="6593"/>
      <c r="AY67" s="6594"/>
      <c r="AZ67" s="6594"/>
      <c r="BA67" s="6594"/>
      <c r="BB67" s="6594"/>
      <c r="BC67" s="6594"/>
      <c r="BD67" s="6595"/>
      <c r="BE67" s="6595"/>
      <c r="BF67" s="6784" t="s">
        <v>607</v>
      </c>
      <c r="BG67" s="6687"/>
      <c r="BH67" s="6785"/>
      <c r="BI67" s="6785" t="str">
        <f>IF(T67="","",T67)</f>
        <v>Наименование централизованной системы водоотведения</v>
      </c>
      <c r="BJ67" s="6785"/>
      <c r="BK67" s="6785"/>
      <c r="BL67" s="6591">
        <v>0</v>
      </c>
    </row>
    <row s="7060" customFormat="1" customHeight="1" ht="23.25">
      <c r="A68" s="6773"/>
      <c r="B68" s="6773"/>
      <c r="C68" s="6773"/>
      <c r="D68" s="6773"/>
      <c r="E68" s="6774"/>
      <c r="F68" s="6774"/>
      <c r="G68" s="6774" t="s">
        <v>90</v>
      </c>
      <c r="H68" s="6774"/>
      <c r="I68" s="6787" t="str">
        <f>S67&amp;".1"</f>
        <v>1.1.4.1</v>
      </c>
      <c r="J68" s="6773"/>
      <c r="K68" s="6773"/>
      <c r="L68" s="6776"/>
      <c r="M68" s="6788"/>
      <c r="N68" s="6788"/>
      <c r="O68" s="6788"/>
      <c r="P68" s="6789">
        <v>1</v>
      </c>
      <c r="Q68" s="6789"/>
      <c r="R68" s="6790"/>
      <c r="S68" s="6781" t="str">
        <f>$I68</f>
        <v>1.1.4.1</v>
      </c>
      <c r="T68" s="6791" t="s">
        <v>573</v>
      </c>
      <c r="U68" s="6783"/>
      <c r="V68" s="6598"/>
      <c r="W68" s="6599"/>
      <c r="X68" s="6599"/>
      <c r="Y68" s="6599"/>
      <c r="Z68" s="6599"/>
      <c r="AA68" s="6599"/>
      <c r="AB68" s="6600"/>
      <c r="AC68" s="6792"/>
      <c r="AD68" s="6793"/>
      <c r="AE68" s="6793"/>
      <c r="AF68" s="6793"/>
      <c r="AG68" s="6793"/>
      <c r="AH68" s="6793"/>
      <c r="AI68" s="6793"/>
      <c r="AJ68" s="6598"/>
      <c r="AK68" s="6599"/>
      <c r="AL68" s="6599"/>
      <c r="AM68" s="6599"/>
      <c r="AN68" s="6599"/>
      <c r="AO68" s="6599"/>
      <c r="AP68" s="6600"/>
      <c r="AQ68" s="6598"/>
      <c r="AR68" s="6599"/>
      <c r="AS68" s="6599"/>
      <c r="AT68" s="6599"/>
      <c r="AU68" s="6599"/>
      <c r="AV68" s="6599"/>
      <c r="AW68" s="6600"/>
      <c r="AX68" s="6598"/>
      <c r="AY68" s="6599"/>
      <c r="AZ68" s="6599"/>
      <c r="BA68" s="6599"/>
      <c r="BB68" s="6599"/>
      <c r="BC68" s="6599"/>
      <c r="BD68" s="6600"/>
      <c r="BE68" s="6794"/>
      <c r="BF68" s="6784" t="s">
        <v>574</v>
      </c>
      <c r="BG68" s="6687"/>
      <c r="BH68" s="6785"/>
      <c r="BI68" s="6785" t="str">
        <f>IF(T68="","",T68)</f>
        <v>Наименование признака дифференциации</v>
      </c>
      <c r="BJ68" s="6785"/>
      <c r="BK68" s="6785"/>
      <c r="BL68" s="6591">
        <v>0</v>
      </c>
    </row>
    <row s="7061" customFormat="1" customHeight="1" ht="23.25">
      <c r="A69" s="6773"/>
      <c r="B69" s="6773"/>
      <c r="C69" s="6773"/>
      <c r="D69" s="6773"/>
      <c r="E69" s="6774"/>
      <c r="F69" s="6774"/>
      <c r="G69" s="6774" t="s">
        <v>90</v>
      </c>
      <c r="H69" s="6774"/>
      <c r="I69" s="6796"/>
      <c r="J69" s="6787" t="str">
        <f>I68&amp;".1"</f>
        <v>1.1.4.1.1</v>
      </c>
      <c r="K69" s="6773"/>
      <c r="L69" s="6776" t="s">
        <v>499</v>
      </c>
      <c r="M69" s="6788"/>
      <c r="N69" s="6788"/>
      <c r="O69" s="6788"/>
      <c r="P69" s="6789"/>
      <c r="Q69" s="6789">
        <v>1</v>
      </c>
      <c r="R69" s="6797"/>
      <c r="S69" s="6781" t="str">
        <f>$J69</f>
        <v>1.1.4.1.1</v>
      </c>
      <c r="T69" s="6798" t="s">
        <v>500</v>
      </c>
      <c r="U69" s="6783"/>
      <c r="V69" s="6601"/>
      <c r="W69" s="6602"/>
      <c r="X69" s="6602"/>
      <c r="Y69" s="6602"/>
      <c r="Z69" s="6602"/>
      <c r="AA69" s="6602"/>
      <c r="AB69" s="6603"/>
      <c r="AC69" s="6601" t="s">
        <v>611</v>
      </c>
      <c r="AD69" s="6602"/>
      <c r="AE69" s="6602"/>
      <c r="AF69" s="6602"/>
      <c r="AG69" s="6602"/>
      <c r="AH69" s="6602"/>
      <c r="AI69" s="6602"/>
      <c r="AJ69" s="6601"/>
      <c r="AK69" s="6602"/>
      <c r="AL69" s="6602"/>
      <c r="AM69" s="6602"/>
      <c r="AN69" s="6602"/>
      <c r="AO69" s="6602"/>
      <c r="AP69" s="6603"/>
      <c r="AQ69" s="6601"/>
      <c r="AR69" s="6602"/>
      <c r="AS69" s="6602"/>
      <c r="AT69" s="6602"/>
      <c r="AU69" s="6602"/>
      <c r="AV69" s="6602"/>
      <c r="AW69" s="6603"/>
      <c r="AX69" s="6601"/>
      <c r="AY69" s="6602"/>
      <c r="AZ69" s="6602"/>
      <c r="BA69" s="6602"/>
      <c r="BB69" s="6602"/>
      <c r="BC69" s="6602"/>
      <c r="BD69" s="6603"/>
      <c r="BE69" s="6603"/>
      <c r="BF69" s="6799" t="s">
        <v>575</v>
      </c>
      <c r="BG69" s="6687"/>
      <c r="BH69" s="6785"/>
      <c r="BI69" s="6785" t="str">
        <f>IF(T69="","",T69)</f>
        <v>Группа потребителей</v>
      </c>
      <c r="BJ69" s="6785"/>
      <c r="BK69" s="6785"/>
      <c r="BL69" s="6591">
        <v>0</v>
      </c>
    </row>
    <row s="7062" customFormat="1" customHeight="1" ht="23.25">
      <c r="A70" s="6773"/>
      <c r="B70" s="6773"/>
      <c r="C70" s="6773"/>
      <c r="D70" s="6773"/>
      <c r="E70" s="6774"/>
      <c r="F70" s="6774"/>
      <c r="G70" s="6774" t="s">
        <v>90</v>
      </c>
      <c r="H70" s="6774"/>
      <c r="I70" s="6796"/>
      <c r="J70" s="6796"/>
      <c r="K70" s="6787" t="str">
        <f>J69&amp;".1"</f>
        <v>1.1.4.1.1.1</v>
      </c>
      <c r="L70" s="6776"/>
      <c r="M70" s="6788"/>
      <c r="N70" s="6788"/>
      <c r="O70" s="6788"/>
      <c r="P70" s="6789"/>
      <c r="Q70" s="6789"/>
      <c r="R70" s="6797">
        <v>1</v>
      </c>
      <c r="S70" s="6781" t="str">
        <f>$K70</f>
        <v>1.1.4.1.1.1</v>
      </c>
      <c r="T70" s="6801" t="s">
        <v>569</v>
      </c>
      <c r="U70" s="6783"/>
      <c r="V70" s="6604"/>
      <c r="W70" s="6604"/>
      <c r="X70" s="6605"/>
      <c r="Y70" s="6606"/>
      <c r="Z70" s="6607" t="s">
        <v>66</v>
      </c>
      <c r="AA70" s="6606"/>
      <c r="AB70" s="6607" t="s">
        <v>66</v>
      </c>
      <c r="AC70" s="6604">
        <v>14.57</v>
      </c>
      <c r="AD70" s="6604"/>
      <c r="AE70" s="6605"/>
      <c r="AF70" s="6606">
        <v>45658.61256944444</v>
      </c>
      <c r="AG70" s="6607" t="s">
        <v>66</v>
      </c>
      <c r="AH70" s="6707">
        <v>46022.61268518519</v>
      </c>
      <c r="AI70" s="6607" t="s">
        <v>66</v>
      </c>
      <c r="AJ70" s="6604">
        <v>14</v>
      </c>
      <c r="AK70" s="6604"/>
      <c r="AL70" s="6605"/>
      <c r="AM70" s="6606">
        <v>46023.642962962964</v>
      </c>
      <c r="AN70" s="6607" t="s">
        <v>66</v>
      </c>
      <c r="AO70" s="6606">
        <v>46387.6430787037</v>
      </c>
      <c r="AP70" s="6607" t="s">
        <v>66</v>
      </c>
      <c r="AQ70" s="6604">
        <v>14.34</v>
      </c>
      <c r="AR70" s="6604"/>
      <c r="AS70" s="6605"/>
      <c r="AT70" s="6606">
        <v>46388.64318287037</v>
      </c>
      <c r="AU70" s="6607" t="s">
        <v>66</v>
      </c>
      <c r="AV70" s="6606">
        <v>46752.643275462964</v>
      </c>
      <c r="AW70" s="6607" t="s">
        <v>66</v>
      </c>
      <c r="AX70" s="6604">
        <v>14.7</v>
      </c>
      <c r="AY70" s="6604"/>
      <c r="AZ70" s="6605"/>
      <c r="BA70" s="6606">
        <v>46753.6434375</v>
      </c>
      <c r="BB70" s="6607" t="s">
        <v>66</v>
      </c>
      <c r="BC70" s="6606">
        <v>47118.64355324074</v>
      </c>
      <c r="BD70" s="6607" t="s">
        <v>66</v>
      </c>
      <c r="BE70" s="6802"/>
      <c r="BF70" s="68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0" s="6687">
        <f>STRCHECKDATE(V71:BE71)</f>
      </c>
      <c r="BH70" s="6785"/>
      <c r="BI70" s="6785" t="str">
        <f>IF(T70="","",T70)</f>
        <v>без НДС</v>
      </c>
      <c r="BJ70" s="6785"/>
      <c r="BK70" s="6785"/>
      <c r="BL70" s="6591">
        <v>0</v>
      </c>
    </row>
    <row s="7063" customFormat="1" customHeight="1" ht="14.25">
      <c r="A71" s="6773"/>
      <c r="B71" s="6773"/>
      <c r="C71" s="6773"/>
      <c r="D71" s="6773"/>
      <c r="E71" s="6774"/>
      <c r="F71" s="6774"/>
      <c r="G71" s="6774" t="s">
        <v>90</v>
      </c>
      <c r="H71" s="6774"/>
      <c r="I71" s="6796"/>
      <c r="J71" s="6796"/>
      <c r="K71" s="6787"/>
      <c r="L71" s="6776"/>
      <c r="M71" s="6788"/>
      <c r="N71" s="6788"/>
      <c r="O71" s="6788"/>
      <c r="P71" s="6789"/>
      <c r="Q71" s="6789"/>
      <c r="R71" s="6797"/>
      <c r="S71" s="6805"/>
      <c r="T71" s="6783"/>
      <c r="U71" s="6783"/>
      <c r="V71" s="6609"/>
      <c r="W71" s="6609"/>
      <c r="X71" s="6610" t="str">
        <f>Y70&amp;"-"&amp;AA70</f>
        <v>-</v>
      </c>
      <c r="Y71" s="6611"/>
      <c r="Z71" s="6607"/>
      <c r="AA71" s="6611"/>
      <c r="AB71" s="6607"/>
      <c r="AC71" s="6609"/>
      <c r="AD71" s="6609"/>
      <c r="AE71" s="6610" t="str">
        <f>AF70&amp;"-"&amp;AH70</f>
        <v>45658.61256944444-46022.61268518519</v>
      </c>
      <c r="AF71" s="6611"/>
      <c r="AG71" s="6607"/>
      <c r="AH71" s="6708"/>
      <c r="AI71" s="6607"/>
      <c r="AJ71" s="6609"/>
      <c r="AK71" s="6609"/>
      <c r="AL71" s="6610" t="str">
        <f>AM70&amp;"-"&amp;AO70</f>
        <v>46023.642962962964-46387.6430787037</v>
      </c>
      <c r="AM71" s="6611"/>
      <c r="AN71" s="6607"/>
      <c r="AO71" s="6611"/>
      <c r="AP71" s="6607"/>
      <c r="AQ71" s="6609"/>
      <c r="AR71" s="6609"/>
      <c r="AS71" s="6610" t="str">
        <f>AT70&amp;"-"&amp;AV70</f>
        <v>46388.64318287037-46752.643275462964</v>
      </c>
      <c r="AT71" s="6611"/>
      <c r="AU71" s="6607"/>
      <c r="AV71" s="6611"/>
      <c r="AW71" s="6607"/>
      <c r="AX71" s="6609"/>
      <c r="AY71" s="6609"/>
      <c r="AZ71" s="6610" t="str">
        <f>BA70&amp;"-"&amp;BC70</f>
        <v>46753.6434375-47118.64355324074</v>
      </c>
      <c r="BA71" s="6611"/>
      <c r="BB71" s="6607"/>
      <c r="BC71" s="6611"/>
      <c r="BD71" s="6607"/>
      <c r="BE71" s="6806"/>
      <c r="BF71" s="6803"/>
      <c r="BG71" s="6687"/>
      <c r="BH71" s="6785"/>
      <c r="BI71" s="6785" t="str">
        <f>IF(T71="","",T71)</f>
        <v/>
      </c>
      <c r="BJ71" s="6785"/>
      <c r="BK71" s="6785"/>
      <c r="BL71" s="6591">
        <v>0</v>
      </c>
    </row>
    <row s="7064" customFormat="1" customHeight="1" ht="21">
      <c r="A72" s="6773"/>
      <c r="B72" s="6773"/>
      <c r="C72" s="6773"/>
      <c r="D72" s="6773"/>
      <c r="E72" s="6774"/>
      <c r="F72" s="6774"/>
      <c r="G72" s="6774" t="s">
        <v>90</v>
      </c>
      <c r="H72" s="6774"/>
      <c r="I72" s="6796"/>
      <c r="J72" s="6787"/>
      <c r="K72" s="6773"/>
      <c r="L72" s="6776"/>
      <c r="M72" s="6788"/>
      <c r="N72" s="6788"/>
      <c r="O72" s="6788"/>
      <c r="P72" s="6789"/>
      <c r="Q72" s="6789"/>
      <c r="R72" s="6790"/>
      <c r="S72" s="7065"/>
      <c r="T72" s="7066" t="s">
        <v>576</v>
      </c>
      <c r="U72" s="7067"/>
      <c r="V72" s="7068"/>
      <c r="W72" s="7069"/>
      <c r="X72" s="7070"/>
      <c r="Y72" s="7071"/>
      <c r="Z72" s="7072"/>
      <c r="AA72" s="7073"/>
      <c r="AB72" s="7074"/>
      <c r="AC72" s="7075"/>
      <c r="AD72" s="7076"/>
      <c r="AE72" s="7077"/>
      <c r="AF72" s="7078"/>
      <c r="AG72" s="7079"/>
      <c r="AH72" s="7080"/>
      <c r="AI72" s="7081"/>
      <c r="AJ72" s="7082"/>
      <c r="AK72" s="7083"/>
      <c r="AL72" s="7084"/>
      <c r="AM72" s="7085"/>
      <c r="AN72" s="7086"/>
      <c r="AO72" s="7087"/>
      <c r="AP72" s="7088"/>
      <c r="AQ72" s="7089"/>
      <c r="AR72" s="7090"/>
      <c r="AS72" s="7091"/>
      <c r="AT72" s="7092"/>
      <c r="AU72" s="7093"/>
      <c r="AV72" s="7094"/>
      <c r="AW72" s="7095"/>
      <c r="AX72" s="7096"/>
      <c r="AY72" s="7097"/>
      <c r="AZ72" s="7098"/>
      <c r="BA72" s="7099"/>
      <c r="BB72" s="7100"/>
      <c r="BC72" s="7101"/>
      <c r="BD72" s="7102"/>
      <c r="BE72" s="7103"/>
      <c r="BF72" s="6784" t="s">
        <v>577</v>
      </c>
      <c r="BG72" s="6687"/>
      <c r="BH72" s="6785"/>
      <c r="BI72" s="6785" t="str">
        <f>IF(T72="","",T72)</f>
        <v>Добавить значение признака дифференциации</v>
      </c>
      <c r="BJ72" s="6785"/>
      <c r="BK72" s="6785"/>
      <c r="BL72" s="6591">
        <v>0</v>
      </c>
    </row>
    <row s="7104" customFormat="1" customHeight="1" ht="21">
      <c r="A73" s="6773"/>
      <c r="B73" s="6773"/>
      <c r="C73" s="6773"/>
      <c r="D73" s="6773"/>
      <c r="E73" s="6774"/>
      <c r="F73" s="6774"/>
      <c r="G73" s="6774" t="s">
        <v>90</v>
      </c>
      <c r="H73" s="6774"/>
      <c r="I73" s="6787"/>
      <c r="J73" s="6773"/>
      <c r="K73" s="6773"/>
      <c r="L73" s="6776"/>
      <c r="M73" s="6788"/>
      <c r="N73" s="6788"/>
      <c r="O73" s="6788"/>
      <c r="P73" s="6789"/>
      <c r="Q73" s="6789"/>
      <c r="R73" s="6790"/>
      <c r="S73" s="7105"/>
      <c r="T73" s="7106" t="s">
        <v>505</v>
      </c>
      <c r="U73" s="7107"/>
      <c r="V73" s="7108"/>
      <c r="W73" s="7109"/>
      <c r="X73" s="7110"/>
      <c r="Y73" s="7111"/>
      <c r="Z73" s="7112"/>
      <c r="AA73" s="7113"/>
      <c r="AB73" s="7114"/>
      <c r="AC73" s="7115"/>
      <c r="AD73" s="7116"/>
      <c r="AE73" s="7117"/>
      <c r="AF73" s="7118"/>
      <c r="AG73" s="7119"/>
      <c r="AH73" s="7120"/>
      <c r="AI73" s="7121"/>
      <c r="AJ73" s="7122"/>
      <c r="AK73" s="7123"/>
      <c r="AL73" s="7124"/>
      <c r="AM73" s="7125"/>
      <c r="AN73" s="7126"/>
      <c r="AO73" s="7127"/>
      <c r="AP73" s="7128"/>
      <c r="AQ73" s="7129"/>
      <c r="AR73" s="7130"/>
      <c r="AS73" s="7131"/>
      <c r="AT73" s="7132"/>
      <c r="AU73" s="7133"/>
      <c r="AV73" s="7134"/>
      <c r="AW73" s="7135"/>
      <c r="AX73" s="7136"/>
      <c r="AY73" s="7137"/>
      <c r="AZ73" s="7138"/>
      <c r="BA73" s="7139"/>
      <c r="BB73" s="7140"/>
      <c r="BC73" s="7141"/>
      <c r="BD73" s="7142"/>
      <c r="BE73" s="7143"/>
      <c r="BF73" s="7144"/>
      <c r="BG73" s="6687"/>
      <c r="BH73" s="6785"/>
      <c r="BI73" s="6785" t="str">
        <f>IF(T73="","",T73)</f>
        <v>Добавить группу потребителей</v>
      </c>
      <c r="BJ73" s="6785"/>
      <c r="BK73" s="6785"/>
      <c r="BL73" s="6591">
        <v>0</v>
      </c>
    </row>
    <row s="7145" customFormat="1" customHeight="1" ht="21">
      <c r="A74" s="6773"/>
      <c r="B74" s="6773"/>
      <c r="C74" s="6773"/>
      <c r="D74" s="6773"/>
      <c r="E74" s="6774"/>
      <c r="F74" s="6774"/>
      <c r="G74" s="6774" t="s">
        <v>90</v>
      </c>
      <c r="H74" s="6775"/>
      <c r="I74" s="6773"/>
      <c r="J74" s="6773"/>
      <c r="K74" s="6773"/>
      <c r="L74" s="6776"/>
      <c r="M74" s="6777"/>
      <c r="N74" s="6777"/>
      <c r="O74" s="6678"/>
      <c r="P74" s="6889"/>
      <c r="Q74" s="6890"/>
      <c r="R74" s="6891"/>
      <c r="S74" s="7146"/>
      <c r="T74" s="7147" t="s">
        <v>578</v>
      </c>
      <c r="U74" s="7148"/>
      <c r="V74" s="7149"/>
      <c r="W74" s="7150"/>
      <c r="X74" s="7151"/>
      <c r="Y74" s="7152"/>
      <c r="Z74" s="7153"/>
      <c r="AA74" s="7154"/>
      <c r="AB74" s="7155"/>
      <c r="AC74" s="7156"/>
      <c r="AD74" s="7157"/>
      <c r="AE74" s="7158"/>
      <c r="AF74" s="7159"/>
      <c r="AG74" s="7160"/>
      <c r="AH74" s="7161"/>
      <c r="AI74" s="7162"/>
      <c r="AJ74" s="7163"/>
      <c r="AK74" s="7164"/>
      <c r="AL74" s="7165"/>
      <c r="AM74" s="7166"/>
      <c r="AN74" s="7167"/>
      <c r="AO74" s="7168"/>
      <c r="AP74" s="7169"/>
      <c r="AQ74" s="7170"/>
      <c r="AR74" s="7171"/>
      <c r="AS74" s="7172"/>
      <c r="AT74" s="7173"/>
      <c r="AU74" s="7174"/>
      <c r="AV74" s="7175"/>
      <c r="AW74" s="7176"/>
      <c r="AX74" s="7177"/>
      <c r="AY74" s="7178"/>
      <c r="AZ74" s="7179"/>
      <c r="BA74" s="7180"/>
      <c r="BB74" s="7181"/>
      <c r="BC74" s="7182"/>
      <c r="BD74" s="7183"/>
      <c r="BE74" s="7184"/>
      <c r="BF74" s="7185"/>
      <c r="BG74" s="6687"/>
      <c r="BH74" s="6785"/>
      <c r="BI74" s="6785" t="str">
        <f>IF(T74="","",T74)</f>
        <v>Добавить наименование признака дифференциации</v>
      </c>
      <c r="BJ74" s="6785"/>
      <c r="BK74" s="6785"/>
      <c r="BL74" s="6591">
        <v>0</v>
      </c>
    </row>
    <row s="7186" customFormat="1" customHeight="1" ht="23.25">
      <c r="A75" s="6773"/>
      <c r="B75" s="6773"/>
      <c r="C75" s="6773" t="s">
        <v>310</v>
      </c>
      <c r="D75" s="6773"/>
      <c r="E75" s="6774"/>
      <c r="F75" s="6774"/>
      <c r="G75" s="6775" t="s">
        <v>116</v>
      </c>
      <c r="H75" s="6773"/>
      <c r="I75" s="6773"/>
      <c r="J75" s="6773"/>
      <c r="K75" s="6773"/>
      <c r="L75" s="6776"/>
      <c r="M75" s="6777"/>
      <c r="N75" s="6777"/>
      <c r="O75" s="6777"/>
      <c r="P75" s="6778"/>
      <c r="Q75" s="6779"/>
      <c r="R75" s="6780"/>
      <c r="S75" s="6781" t="str">
        <f>INDEX(PT_DIFFERENTIATION_NUM_CS,MATCH(C75,PT_DIFFERENTIATION_CS_ID,0))</f>
        <v>1.1.5</v>
      </c>
      <c r="T75" s="6782" t="s">
        <v>606</v>
      </c>
      <c r="U75" s="6783"/>
      <c r="V75" s="6593"/>
      <c r="W75" s="6594"/>
      <c r="X75" s="6594"/>
      <c r="Y75" s="6594"/>
      <c r="Z75" s="6594"/>
      <c r="AA75" s="6594"/>
      <c r="AB75" s="6595"/>
      <c r="AC75" s="6593" t="str">
        <f>INDEX(PT_DIFFERENTIATION_CS,MATCH(C75,PT_DIFFERENTIATION_CS_ID,0))</f>
        <v>пгт. Приморский</v>
      </c>
      <c r="AD75" s="6594"/>
      <c r="AE75" s="6594"/>
      <c r="AF75" s="6594"/>
      <c r="AG75" s="6594"/>
      <c r="AH75" s="6594"/>
      <c r="AI75" s="6594"/>
      <c r="AJ75" s="6593"/>
      <c r="AK75" s="6594"/>
      <c r="AL75" s="6594"/>
      <c r="AM75" s="6594"/>
      <c r="AN75" s="6594"/>
      <c r="AO75" s="6594"/>
      <c r="AP75" s="6595"/>
      <c r="AQ75" s="6593"/>
      <c r="AR75" s="6594"/>
      <c r="AS75" s="6594"/>
      <c r="AT75" s="6594"/>
      <c r="AU75" s="6594"/>
      <c r="AV75" s="6594"/>
      <c r="AW75" s="6595"/>
      <c r="AX75" s="6593"/>
      <c r="AY75" s="6594"/>
      <c r="AZ75" s="6594"/>
      <c r="BA75" s="6594"/>
      <c r="BB75" s="6594"/>
      <c r="BC75" s="6594"/>
      <c r="BD75" s="6595"/>
      <c r="BE75" s="6595"/>
      <c r="BF75" s="6784" t="s">
        <v>607</v>
      </c>
      <c r="BG75" s="6687"/>
      <c r="BH75" s="6785"/>
      <c r="BI75" s="6785" t="str">
        <f>IF(T75="","",T75)</f>
        <v>Наименование централизованной системы водоотведения</v>
      </c>
      <c r="BJ75" s="6785"/>
      <c r="BK75" s="6785"/>
      <c r="BL75" s="6591">
        <v>0</v>
      </c>
    </row>
    <row s="7187" customFormat="1" customHeight="1" ht="23.25">
      <c r="A76" s="6773"/>
      <c r="B76" s="6773"/>
      <c r="C76" s="6773"/>
      <c r="D76" s="6773"/>
      <c r="E76" s="6774"/>
      <c r="F76" s="6774"/>
      <c r="G76" s="6774" t="s">
        <v>91</v>
      </c>
      <c r="H76" s="6774"/>
      <c r="I76" s="6787" t="str">
        <f>S75&amp;".1"</f>
        <v>1.1.5.1</v>
      </c>
      <c r="J76" s="6773"/>
      <c r="K76" s="6773"/>
      <c r="L76" s="6776"/>
      <c r="M76" s="6788"/>
      <c r="N76" s="6788"/>
      <c r="O76" s="6788"/>
      <c r="P76" s="6789">
        <v>1</v>
      </c>
      <c r="Q76" s="6789"/>
      <c r="R76" s="6790"/>
      <c r="S76" s="6781" t="str">
        <f>$I76</f>
        <v>1.1.5.1</v>
      </c>
      <c r="T76" s="6791" t="s">
        <v>573</v>
      </c>
      <c r="U76" s="6783"/>
      <c r="V76" s="6598"/>
      <c r="W76" s="6599"/>
      <c r="X76" s="6599"/>
      <c r="Y76" s="6599"/>
      <c r="Z76" s="6599"/>
      <c r="AA76" s="6599"/>
      <c r="AB76" s="6600"/>
      <c r="AC76" s="6792"/>
      <c r="AD76" s="6793"/>
      <c r="AE76" s="6793"/>
      <c r="AF76" s="6793"/>
      <c r="AG76" s="6793"/>
      <c r="AH76" s="6793"/>
      <c r="AI76" s="6793"/>
      <c r="AJ76" s="6598"/>
      <c r="AK76" s="6599"/>
      <c r="AL76" s="6599"/>
      <c r="AM76" s="6599"/>
      <c r="AN76" s="6599"/>
      <c r="AO76" s="6599"/>
      <c r="AP76" s="6600"/>
      <c r="AQ76" s="6598"/>
      <c r="AR76" s="6599"/>
      <c r="AS76" s="6599"/>
      <c r="AT76" s="6599"/>
      <c r="AU76" s="6599"/>
      <c r="AV76" s="6599"/>
      <c r="AW76" s="6600"/>
      <c r="AX76" s="6598"/>
      <c r="AY76" s="6599"/>
      <c r="AZ76" s="6599"/>
      <c r="BA76" s="6599"/>
      <c r="BB76" s="6599"/>
      <c r="BC76" s="6599"/>
      <c r="BD76" s="6600"/>
      <c r="BE76" s="6794"/>
      <c r="BF76" s="6784" t="s">
        <v>574</v>
      </c>
      <c r="BG76" s="6687"/>
      <c r="BH76" s="6785"/>
      <c r="BI76" s="6785" t="str">
        <f>IF(T76="","",T76)</f>
        <v>Наименование признака дифференциации</v>
      </c>
      <c r="BJ76" s="6785"/>
      <c r="BK76" s="6785"/>
      <c r="BL76" s="6591">
        <v>0</v>
      </c>
    </row>
    <row s="7188" customFormat="1" customHeight="1" ht="23.25">
      <c r="A77" s="6773"/>
      <c r="B77" s="6773"/>
      <c r="C77" s="6773"/>
      <c r="D77" s="6773"/>
      <c r="E77" s="6774"/>
      <c r="F77" s="6774"/>
      <c r="G77" s="6774" t="s">
        <v>91</v>
      </c>
      <c r="H77" s="6774"/>
      <c r="I77" s="6796"/>
      <c r="J77" s="6787" t="str">
        <f>I76&amp;".1"</f>
        <v>1.1.5.1.1</v>
      </c>
      <c r="K77" s="6773"/>
      <c r="L77" s="6776" t="s">
        <v>499</v>
      </c>
      <c r="M77" s="6788"/>
      <c r="N77" s="6788"/>
      <c r="O77" s="6788"/>
      <c r="P77" s="6789"/>
      <c r="Q77" s="6789">
        <v>1</v>
      </c>
      <c r="R77" s="6797"/>
      <c r="S77" s="6781" t="str">
        <f>$J77</f>
        <v>1.1.5.1.1</v>
      </c>
      <c r="T77" s="6798" t="s">
        <v>500</v>
      </c>
      <c r="U77" s="6783"/>
      <c r="V77" s="6601"/>
      <c r="W77" s="6602"/>
      <c r="X77" s="6602"/>
      <c r="Y77" s="6602"/>
      <c r="Z77" s="6602"/>
      <c r="AA77" s="6602"/>
      <c r="AB77" s="6603"/>
      <c r="AC77" s="6601" t="s">
        <v>611</v>
      </c>
      <c r="AD77" s="6602"/>
      <c r="AE77" s="6602"/>
      <c r="AF77" s="6602"/>
      <c r="AG77" s="6602"/>
      <c r="AH77" s="6602"/>
      <c r="AI77" s="6602"/>
      <c r="AJ77" s="6601"/>
      <c r="AK77" s="6602"/>
      <c r="AL77" s="6602"/>
      <c r="AM77" s="6602"/>
      <c r="AN77" s="6602"/>
      <c r="AO77" s="6602"/>
      <c r="AP77" s="6603"/>
      <c r="AQ77" s="6601"/>
      <c r="AR77" s="6602"/>
      <c r="AS77" s="6602"/>
      <c r="AT77" s="6602"/>
      <c r="AU77" s="6602"/>
      <c r="AV77" s="6602"/>
      <c r="AW77" s="6603"/>
      <c r="AX77" s="6601"/>
      <c r="AY77" s="6602"/>
      <c r="AZ77" s="6602"/>
      <c r="BA77" s="6602"/>
      <c r="BB77" s="6602"/>
      <c r="BC77" s="6602"/>
      <c r="BD77" s="6603"/>
      <c r="BE77" s="6603"/>
      <c r="BF77" s="6799" t="s">
        <v>575</v>
      </c>
      <c r="BG77" s="6687"/>
      <c r="BH77" s="6785"/>
      <c r="BI77" s="6785" t="str">
        <f>IF(T77="","",T77)</f>
        <v>Группа потребителей</v>
      </c>
      <c r="BJ77" s="6785"/>
      <c r="BK77" s="6785"/>
      <c r="BL77" s="6591">
        <v>0</v>
      </c>
    </row>
    <row s="7189" customFormat="1" customHeight="1" ht="23.25">
      <c r="A78" s="6773"/>
      <c r="B78" s="6773"/>
      <c r="C78" s="6773"/>
      <c r="D78" s="6773"/>
      <c r="E78" s="6774"/>
      <c r="F78" s="6774"/>
      <c r="G78" s="6774" t="s">
        <v>91</v>
      </c>
      <c r="H78" s="6774"/>
      <c r="I78" s="6796"/>
      <c r="J78" s="6796"/>
      <c r="K78" s="6787" t="str">
        <f>J77&amp;".1"</f>
        <v>1.1.5.1.1.1</v>
      </c>
      <c r="L78" s="6776"/>
      <c r="M78" s="6788"/>
      <c r="N78" s="6788"/>
      <c r="O78" s="6788"/>
      <c r="P78" s="6789"/>
      <c r="Q78" s="6789"/>
      <c r="R78" s="6797">
        <v>1</v>
      </c>
      <c r="S78" s="6781" t="str">
        <f>$K78</f>
        <v>1.1.5.1.1.1</v>
      </c>
      <c r="T78" s="6801" t="s">
        <v>569</v>
      </c>
      <c r="U78" s="6783"/>
      <c r="V78" s="6604"/>
      <c r="W78" s="6604"/>
      <c r="X78" s="6605"/>
      <c r="Y78" s="6606"/>
      <c r="Z78" s="6607" t="s">
        <v>66</v>
      </c>
      <c r="AA78" s="6606"/>
      <c r="AB78" s="6607" t="s">
        <v>66</v>
      </c>
      <c r="AC78" s="6604">
        <v>17.33</v>
      </c>
      <c r="AD78" s="6604"/>
      <c r="AE78" s="6605"/>
      <c r="AF78" s="6606">
        <v>45658.61282407407</v>
      </c>
      <c r="AG78" s="6607" t="s">
        <v>66</v>
      </c>
      <c r="AH78" s="6707">
        <v>46022.61292824074</v>
      </c>
      <c r="AI78" s="6607" t="s">
        <v>66</v>
      </c>
      <c r="AJ78" s="6604">
        <v>16.68</v>
      </c>
      <c r="AK78" s="6604"/>
      <c r="AL78" s="6605"/>
      <c r="AM78" s="6606">
        <v>46023.6427662037</v>
      </c>
      <c r="AN78" s="6607" t="s">
        <v>66</v>
      </c>
      <c r="AO78" s="6606">
        <v>46387.64262731482</v>
      </c>
      <c r="AP78" s="6607" t="s">
        <v>66</v>
      </c>
      <c r="AQ78" s="6604">
        <v>17.18</v>
      </c>
      <c r="AR78" s="6604"/>
      <c r="AS78" s="6605"/>
      <c r="AT78" s="6606">
        <v>46388.64251157407</v>
      </c>
      <c r="AU78" s="6607" t="s">
        <v>66</v>
      </c>
      <c r="AV78" s="6606">
        <v>46752.64230324074</v>
      </c>
      <c r="AW78" s="6607" t="s">
        <v>66</v>
      </c>
      <c r="AX78" s="6604">
        <v>17.68</v>
      </c>
      <c r="AY78" s="6604"/>
      <c r="AZ78" s="6605"/>
      <c r="BA78" s="6606">
        <v>46753.64200231482</v>
      </c>
      <c r="BB78" s="6607" t="s">
        <v>66</v>
      </c>
      <c r="BC78" s="6606">
        <v>47118.64189814815</v>
      </c>
      <c r="BD78" s="6607" t="s">
        <v>66</v>
      </c>
      <c r="BE78" s="6802"/>
      <c r="BF78" s="68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8" s="6687">
        <f>STRCHECKDATE(V79:BE79)</f>
      </c>
      <c r="BH78" s="6785"/>
      <c r="BI78" s="6785" t="str">
        <f>IF(T78="","",T78)</f>
        <v>без НДС</v>
      </c>
      <c r="BJ78" s="6785"/>
      <c r="BK78" s="6785"/>
      <c r="BL78" s="6591">
        <v>0</v>
      </c>
    </row>
    <row s="7190" customFormat="1" customHeight="1" ht="14.25">
      <c r="A79" s="6773"/>
      <c r="B79" s="6773"/>
      <c r="C79" s="6773"/>
      <c r="D79" s="6773"/>
      <c r="E79" s="6774"/>
      <c r="F79" s="6774"/>
      <c r="G79" s="6774" t="s">
        <v>91</v>
      </c>
      <c r="H79" s="6774"/>
      <c r="I79" s="6796"/>
      <c r="J79" s="6796"/>
      <c r="K79" s="6787"/>
      <c r="L79" s="6776"/>
      <c r="M79" s="6788"/>
      <c r="N79" s="6788"/>
      <c r="O79" s="6788"/>
      <c r="P79" s="6789"/>
      <c r="Q79" s="6789"/>
      <c r="R79" s="6797"/>
      <c r="S79" s="6805"/>
      <c r="T79" s="6783"/>
      <c r="U79" s="6783"/>
      <c r="V79" s="6609"/>
      <c r="W79" s="6609"/>
      <c r="X79" s="6610" t="str">
        <f>Y78&amp;"-"&amp;AA78</f>
        <v>-</v>
      </c>
      <c r="Y79" s="6611"/>
      <c r="Z79" s="6607"/>
      <c r="AA79" s="6611"/>
      <c r="AB79" s="6607"/>
      <c r="AC79" s="6609"/>
      <c r="AD79" s="6609"/>
      <c r="AE79" s="6610" t="str">
        <f>AF78&amp;"-"&amp;AH78</f>
        <v>45658.61282407407-46022.61292824074</v>
      </c>
      <c r="AF79" s="6611"/>
      <c r="AG79" s="6607"/>
      <c r="AH79" s="6708"/>
      <c r="AI79" s="6607"/>
      <c r="AJ79" s="6609"/>
      <c r="AK79" s="6609"/>
      <c r="AL79" s="6610" t="str">
        <f>AM78&amp;"-"&amp;AO78</f>
        <v>46023.6427662037-46387.64262731482</v>
      </c>
      <c r="AM79" s="6611"/>
      <c r="AN79" s="6607"/>
      <c r="AO79" s="6611"/>
      <c r="AP79" s="6607"/>
      <c r="AQ79" s="6609"/>
      <c r="AR79" s="6609"/>
      <c r="AS79" s="6610" t="str">
        <f>AT78&amp;"-"&amp;AV78</f>
        <v>46388.64251157407-46752.64230324074</v>
      </c>
      <c r="AT79" s="6611"/>
      <c r="AU79" s="6607"/>
      <c r="AV79" s="6611"/>
      <c r="AW79" s="6607"/>
      <c r="AX79" s="6609"/>
      <c r="AY79" s="6609"/>
      <c r="AZ79" s="6610" t="str">
        <f>BA78&amp;"-"&amp;BC78</f>
        <v>46753.64200231482-47118.64189814815</v>
      </c>
      <c r="BA79" s="6611"/>
      <c r="BB79" s="6607"/>
      <c r="BC79" s="6611"/>
      <c r="BD79" s="6607"/>
      <c r="BE79" s="6806"/>
      <c r="BF79" s="6803"/>
      <c r="BG79" s="6687"/>
      <c r="BH79" s="6785"/>
      <c r="BI79" s="6785" t="str">
        <f>IF(T79="","",T79)</f>
        <v/>
      </c>
      <c r="BJ79" s="6785"/>
      <c r="BK79" s="6785"/>
      <c r="BL79" s="6591">
        <v>0</v>
      </c>
    </row>
    <row s="7191" customFormat="1" customHeight="1" ht="21">
      <c r="A80" s="6773"/>
      <c r="B80" s="6773"/>
      <c r="C80" s="6773"/>
      <c r="D80" s="6773"/>
      <c r="E80" s="6774"/>
      <c r="F80" s="6774"/>
      <c r="G80" s="6774" t="s">
        <v>91</v>
      </c>
      <c r="H80" s="6774"/>
      <c r="I80" s="6796"/>
      <c r="J80" s="6787"/>
      <c r="K80" s="6773"/>
      <c r="L80" s="6776"/>
      <c r="M80" s="6788"/>
      <c r="N80" s="6788"/>
      <c r="O80" s="6788"/>
      <c r="P80" s="6789"/>
      <c r="Q80" s="6789"/>
      <c r="R80" s="6790"/>
      <c r="S80" s="7192"/>
      <c r="T80" s="7193" t="s">
        <v>576</v>
      </c>
      <c r="U80" s="7194"/>
      <c r="V80" s="7195"/>
      <c r="W80" s="7196"/>
      <c r="X80" s="7197"/>
      <c r="Y80" s="7198"/>
      <c r="Z80" s="7199"/>
      <c r="AA80" s="7200"/>
      <c r="AB80" s="7201"/>
      <c r="AC80" s="7202"/>
      <c r="AD80" s="7203"/>
      <c r="AE80" s="7204"/>
      <c r="AF80" s="7205"/>
      <c r="AG80" s="7206"/>
      <c r="AH80" s="7207"/>
      <c r="AI80" s="7208"/>
      <c r="AJ80" s="7209"/>
      <c r="AK80" s="7210"/>
      <c r="AL80" s="7211"/>
      <c r="AM80" s="7212"/>
      <c r="AN80" s="7213"/>
      <c r="AO80" s="7214"/>
      <c r="AP80" s="7215"/>
      <c r="AQ80" s="7216"/>
      <c r="AR80" s="7217"/>
      <c r="AS80" s="7218"/>
      <c r="AT80" s="7219"/>
      <c r="AU80" s="7220"/>
      <c r="AV80" s="7221"/>
      <c r="AW80" s="7222"/>
      <c r="AX80" s="7223"/>
      <c r="AY80" s="7224"/>
      <c r="AZ80" s="7225"/>
      <c r="BA80" s="7226"/>
      <c r="BB80" s="7227"/>
      <c r="BC80" s="7228"/>
      <c r="BD80" s="7229"/>
      <c r="BE80" s="7230"/>
      <c r="BF80" s="6784" t="s">
        <v>577</v>
      </c>
      <c r="BG80" s="6687"/>
      <c r="BH80" s="6785"/>
      <c r="BI80" s="6785" t="str">
        <f>IF(T80="","",T80)</f>
        <v>Добавить значение признака дифференциации</v>
      </c>
      <c r="BJ80" s="6785"/>
      <c r="BK80" s="6785"/>
      <c r="BL80" s="6591">
        <v>0</v>
      </c>
    </row>
    <row s="7231" customFormat="1" customHeight="1" ht="21">
      <c r="A81" s="6773"/>
      <c r="B81" s="6773"/>
      <c r="C81" s="6773"/>
      <c r="D81" s="6773"/>
      <c r="E81" s="6774"/>
      <c r="F81" s="6774"/>
      <c r="G81" s="6774" t="s">
        <v>91</v>
      </c>
      <c r="H81" s="6774"/>
      <c r="I81" s="6787"/>
      <c r="J81" s="6773"/>
      <c r="K81" s="6773"/>
      <c r="L81" s="6776"/>
      <c r="M81" s="6788"/>
      <c r="N81" s="6788"/>
      <c r="O81" s="6788"/>
      <c r="P81" s="6789"/>
      <c r="Q81" s="6789"/>
      <c r="R81" s="6790"/>
      <c r="S81" s="7232"/>
      <c r="T81" s="7233" t="s">
        <v>505</v>
      </c>
      <c r="U81" s="7234"/>
      <c r="V81" s="7235"/>
      <c r="W81" s="7236"/>
      <c r="X81" s="7237"/>
      <c r="Y81" s="7238"/>
      <c r="Z81" s="7239"/>
      <c r="AA81" s="7240"/>
      <c r="AB81" s="7241"/>
      <c r="AC81" s="7242"/>
      <c r="AD81" s="7243"/>
      <c r="AE81" s="7244"/>
      <c r="AF81" s="7245"/>
      <c r="AG81" s="7246"/>
      <c r="AH81" s="7247"/>
      <c r="AI81" s="7248"/>
      <c r="AJ81" s="7249"/>
      <c r="AK81" s="7250"/>
      <c r="AL81" s="7251"/>
      <c r="AM81" s="7252"/>
      <c r="AN81" s="7253"/>
      <c r="AO81" s="7254"/>
      <c r="AP81" s="7255"/>
      <c r="AQ81" s="7256"/>
      <c r="AR81" s="7257"/>
      <c r="AS81" s="7258"/>
      <c r="AT81" s="7259"/>
      <c r="AU81" s="7260"/>
      <c r="AV81" s="7261"/>
      <c r="AW81" s="7262"/>
      <c r="AX81" s="7263"/>
      <c r="AY81" s="7264"/>
      <c r="AZ81" s="7265"/>
      <c r="BA81" s="7266"/>
      <c r="BB81" s="7267"/>
      <c r="BC81" s="7268"/>
      <c r="BD81" s="7269"/>
      <c r="BE81" s="7270"/>
      <c r="BF81" s="7271"/>
      <c r="BG81" s="6687"/>
      <c r="BH81" s="6785"/>
      <c r="BI81" s="6785" t="str">
        <f>IF(T81="","",T81)</f>
        <v>Добавить группу потребителей</v>
      </c>
      <c r="BJ81" s="6785"/>
      <c r="BK81" s="6785"/>
      <c r="BL81" s="6591">
        <v>0</v>
      </c>
    </row>
    <row s="7272" customFormat="1" customHeight="1" ht="21">
      <c r="A82" s="6773"/>
      <c r="B82" s="6773"/>
      <c r="C82" s="6773"/>
      <c r="D82" s="6773"/>
      <c r="E82" s="6774"/>
      <c r="F82" s="6774"/>
      <c r="G82" s="6774" t="s">
        <v>91</v>
      </c>
      <c r="H82" s="6775"/>
      <c r="I82" s="6773"/>
      <c r="J82" s="6773"/>
      <c r="K82" s="6773"/>
      <c r="L82" s="6776"/>
      <c r="M82" s="6777"/>
      <c r="N82" s="6777"/>
      <c r="O82" s="6678"/>
      <c r="P82" s="6889"/>
      <c r="Q82" s="6890"/>
      <c r="R82" s="6891"/>
      <c r="S82" s="7273"/>
      <c r="T82" s="7274" t="s">
        <v>578</v>
      </c>
      <c r="U82" s="7275"/>
      <c r="V82" s="7276"/>
      <c r="W82" s="7277"/>
      <c r="X82" s="7278"/>
      <c r="Y82" s="7279"/>
      <c r="Z82" s="7280"/>
      <c r="AA82" s="7281"/>
      <c r="AB82" s="7282"/>
      <c r="AC82" s="7283"/>
      <c r="AD82" s="7284"/>
      <c r="AE82" s="7285"/>
      <c r="AF82" s="7286"/>
      <c r="AG82" s="7287"/>
      <c r="AH82" s="7288"/>
      <c r="AI82" s="7289"/>
      <c r="AJ82" s="7290"/>
      <c r="AK82" s="7291"/>
      <c r="AL82" s="7292"/>
      <c r="AM82" s="7293"/>
      <c r="AN82" s="7294"/>
      <c r="AO82" s="7295"/>
      <c r="AP82" s="7296"/>
      <c r="AQ82" s="7297"/>
      <c r="AR82" s="7298"/>
      <c r="AS82" s="7299"/>
      <c r="AT82" s="7300"/>
      <c r="AU82" s="7301"/>
      <c r="AV82" s="7302"/>
      <c r="AW82" s="7303"/>
      <c r="AX82" s="7304"/>
      <c r="AY82" s="7305"/>
      <c r="AZ82" s="7306"/>
      <c r="BA82" s="7307"/>
      <c r="BB82" s="7308"/>
      <c r="BC82" s="7309"/>
      <c r="BD82" s="7310"/>
      <c r="BE82" s="7311"/>
      <c r="BF82" s="7312"/>
      <c r="BG82" s="6687"/>
      <c r="BH82" s="6785"/>
      <c r="BI82" s="6785" t="str">
        <f>IF(T82="","",T82)</f>
        <v>Добавить наименование признака дифференциации</v>
      </c>
      <c r="BJ82" s="6785"/>
      <c r="BK82" s="6785"/>
      <c r="BL82" s="6591">
        <v>0</v>
      </c>
    </row>
    <row s="5468" customFormat="1" customHeight="1" ht="0">
      <c r="A83" s="1456" t="s">
        <v>297</v>
      </c>
      <c r="B83" s="1456" t="s">
        <v>298</v>
      </c>
      <c r="C83" s="1427"/>
      <c r="D83" s="1427"/>
      <c r="E83" s="2372"/>
      <c r="F83" s="2371"/>
      <c r="G83" s="1427"/>
      <c r="H83" s="1427"/>
      <c r="I83" s="1427"/>
      <c r="J83" s="1427"/>
      <c r="K83" s="1427"/>
      <c r="L83" s="1607"/>
      <c r="M83" s="1434"/>
      <c r="N83" s="1434"/>
      <c r="P83" s="1429"/>
      <c r="Q83" s="1430"/>
      <c r="R83" s="1429"/>
      <c r="S83" s="1435"/>
      <c r="T83" s="1438" t="s">
        <v>312</v>
      </c>
      <c r="U83" s="1437"/>
      <c r="V83" s="1437"/>
      <c r="W83" s="1437"/>
      <c r="X83" s="1437"/>
      <c r="Y83" s="1437"/>
      <c r="Z83" s="1437"/>
      <c r="AA83" s="1437"/>
      <c r="AB83" s="1437"/>
      <c r="AC83" s="1437"/>
      <c r="AD83" s="1437"/>
      <c r="AE83" s="1437"/>
      <c r="AF83" s="1437"/>
      <c r="AG83" s="1437"/>
      <c r="AH83" s="1437"/>
      <c r="AI83" s="1437"/>
      <c r="AJ83" s="6676"/>
      <c r="AK83" s="6676"/>
      <c r="AL83" s="6676"/>
      <c r="AM83" s="6676"/>
      <c r="AN83" s="6676"/>
      <c r="AO83" s="6676"/>
      <c r="AP83" s="6676"/>
      <c r="AQ83" s="6676"/>
      <c r="AR83" s="6676"/>
      <c r="AS83" s="6676"/>
      <c r="AT83" s="6676"/>
      <c r="AU83" s="6676"/>
      <c r="AV83" s="6676"/>
      <c r="AW83" s="6676"/>
      <c r="AX83" s="6676"/>
      <c r="AY83" s="6676"/>
      <c r="AZ83" s="6676"/>
      <c r="BA83" s="6676"/>
      <c r="BB83" s="6676"/>
      <c r="BC83" s="6676"/>
      <c r="BD83" s="6676"/>
      <c r="BE83" s="1437"/>
      <c r="BF83" s="1437"/>
      <c r="BH83" s="902"/>
      <c r="BI83" s="902" t="str">
        <f>IF(T83="","",T83)</f>
        <v>Добавить централизованную систему для дифференциации</v>
      </c>
      <c r="BJ83" s="902"/>
      <c r="BK83" s="902"/>
      <c r="BL83" s="631">
        <v>0</v>
      </c>
    </row>
    <row s="7313" customFormat="1" customHeight="1" ht="23.25">
      <c r="A84" s="6773"/>
      <c r="B84" s="6773" t="s">
        <v>314</v>
      </c>
      <c r="C84" s="6773"/>
      <c r="D84" s="6773"/>
      <c r="E84" s="6774"/>
      <c r="F84" s="6775" t="s">
        <v>103</v>
      </c>
      <c r="G84" s="6773"/>
      <c r="H84" s="6773"/>
      <c r="I84" s="6773"/>
      <c r="J84" s="6773"/>
      <c r="K84" s="6773"/>
      <c r="L84" s="6776"/>
      <c r="M84" s="6777"/>
      <c r="N84" s="6777"/>
      <c r="O84" s="6777"/>
      <c r="P84" s="7314"/>
      <c r="Q84" s="6779"/>
      <c r="R84" s="6780"/>
      <c r="S84" s="6781" t="str">
        <f>INDEX(PT_DIFFERENTIATION_NUM_TER,MATCH(B84,PT_DIFFERENTIATION_TER_ID,0))</f>
        <v>1.2</v>
      </c>
      <c r="T84" s="7315" t="s">
        <v>490</v>
      </c>
      <c r="U84" s="6783"/>
      <c r="V84" s="6593"/>
      <c r="W84" s="6594"/>
      <c r="X84" s="6594"/>
      <c r="Y84" s="6594"/>
      <c r="Z84" s="6594"/>
      <c r="AA84" s="6594"/>
      <c r="AB84" s="6595"/>
      <c r="AC84" s="6593" t="str">
        <f>INDEX(PT_DIFFERENTIATION_TER,MATCH(B84,PT_DIFFERENTIATION_TER_ID,0))</f>
        <v>Территория 2</v>
      </c>
      <c r="AD84" s="6594"/>
      <c r="AE84" s="6594"/>
      <c r="AF84" s="6594"/>
      <c r="AG84" s="6594"/>
      <c r="AH84" s="6594"/>
      <c r="AI84" s="6594"/>
      <c r="AJ84" s="6593"/>
      <c r="AK84" s="6594"/>
      <c r="AL84" s="6594"/>
      <c r="AM84" s="6594"/>
      <c r="AN84" s="6594"/>
      <c r="AO84" s="6594"/>
      <c r="AP84" s="6595"/>
      <c r="AQ84" s="6593"/>
      <c r="AR84" s="6594"/>
      <c r="AS84" s="6594"/>
      <c r="AT84" s="6594"/>
      <c r="AU84" s="6594"/>
      <c r="AV84" s="6594"/>
      <c r="AW84" s="6595"/>
      <c r="AX84" s="6593"/>
      <c r="AY84" s="6594"/>
      <c r="AZ84" s="6594"/>
      <c r="BA84" s="6594"/>
      <c r="BB84" s="6594"/>
      <c r="BC84" s="6594"/>
      <c r="BD84" s="6595"/>
      <c r="BE84" s="6595"/>
      <c r="BF84" s="6784" t="s">
        <v>491</v>
      </c>
      <c r="BG84" s="6687"/>
      <c r="BH84" s="6785"/>
      <c r="BI84" s="6785" t="str">
        <f>IF(T84="","",T84)</f>
        <v>Территория действия тарифа</v>
      </c>
      <c r="BJ84" s="6785"/>
      <c r="BK84" s="6785"/>
      <c r="BL84" s="6591">
        <v>0</v>
      </c>
    </row>
    <row s="7316" customFormat="1" customHeight="1" ht="23.25">
      <c r="A85" s="6773"/>
      <c r="B85" s="6773"/>
      <c r="C85" s="6773" t="s">
        <v>315</v>
      </c>
      <c r="D85" s="6773"/>
      <c r="E85" s="6774"/>
      <c r="F85" s="6774">
        <v>1</v>
      </c>
      <c r="G85" s="6775">
        <v>1</v>
      </c>
      <c r="H85" s="6773"/>
      <c r="I85" s="6773"/>
      <c r="J85" s="6773"/>
      <c r="K85" s="6773"/>
      <c r="L85" s="6776"/>
      <c r="M85" s="6777"/>
      <c r="N85" s="6777"/>
      <c r="O85" s="6777"/>
      <c r="P85" s="6778"/>
      <c r="Q85" s="6779"/>
      <c r="R85" s="6780"/>
      <c r="S85" s="6781" t="str">
        <f>INDEX(PT_DIFFERENTIATION_NUM_CS,MATCH(C85,PT_DIFFERENTIATION_CS_ID,0))</f>
        <v>1.2.1</v>
      </c>
      <c r="T85" s="6782" t="s">
        <v>606</v>
      </c>
      <c r="U85" s="6783"/>
      <c r="V85" s="6593"/>
      <c r="W85" s="6594"/>
      <c r="X85" s="6594"/>
      <c r="Y85" s="6594"/>
      <c r="Z85" s="6594"/>
      <c r="AA85" s="6594"/>
      <c r="AB85" s="6595"/>
      <c r="AC85" s="6593" t="str">
        <f>INDEX(PT_DIFFERENTIATION_CS,MATCH(C85,PT_DIFFERENTIATION_CS_ID,0))</f>
        <v>с. Многоудобное</v>
      </c>
      <c r="AD85" s="6594"/>
      <c r="AE85" s="6594"/>
      <c r="AF85" s="6594"/>
      <c r="AG85" s="6594"/>
      <c r="AH85" s="6594"/>
      <c r="AI85" s="6594"/>
      <c r="AJ85" s="6593"/>
      <c r="AK85" s="6594"/>
      <c r="AL85" s="6594"/>
      <c r="AM85" s="6594"/>
      <c r="AN85" s="6594"/>
      <c r="AO85" s="6594"/>
      <c r="AP85" s="6595"/>
      <c r="AQ85" s="6593"/>
      <c r="AR85" s="6594"/>
      <c r="AS85" s="6594"/>
      <c r="AT85" s="6594"/>
      <c r="AU85" s="6594"/>
      <c r="AV85" s="6594"/>
      <c r="AW85" s="6595"/>
      <c r="AX85" s="6593"/>
      <c r="AY85" s="6594"/>
      <c r="AZ85" s="6594"/>
      <c r="BA85" s="6594"/>
      <c r="BB85" s="6594"/>
      <c r="BC85" s="6594"/>
      <c r="BD85" s="6595"/>
      <c r="BE85" s="6595"/>
      <c r="BF85" s="6784" t="s">
        <v>607</v>
      </c>
      <c r="BG85" s="6687"/>
      <c r="BH85" s="6785"/>
      <c r="BI85" s="6785" t="str">
        <f>IF(T85="","",T85)</f>
        <v>Наименование централизованной системы водоотведения</v>
      </c>
      <c r="BJ85" s="6785"/>
      <c r="BK85" s="6785"/>
      <c r="BL85" s="6591">
        <v>0</v>
      </c>
    </row>
    <row s="7317" customFormat="1" customHeight="1" ht="23.25">
      <c r="A86" s="6773"/>
      <c r="B86" s="6773"/>
      <c r="C86" s="6773"/>
      <c r="D86" s="6773"/>
      <c r="E86" s="6774"/>
      <c r="F86" s="6774">
        <v>1</v>
      </c>
      <c r="G86" s="6774"/>
      <c r="H86" s="6774"/>
      <c r="I86" s="6787" t="str">
        <f>S85&amp;".1"</f>
        <v>1.2.1.1</v>
      </c>
      <c r="J86" s="6773"/>
      <c r="K86" s="6773"/>
      <c r="L86" s="6776"/>
      <c r="M86" s="6788"/>
      <c r="N86" s="6788"/>
      <c r="O86" s="6788"/>
      <c r="P86" s="6789">
        <v>1</v>
      </c>
      <c r="Q86" s="6789"/>
      <c r="R86" s="6790"/>
      <c r="S86" s="6781" t="str">
        <f>$I86</f>
        <v>1.2.1.1</v>
      </c>
      <c r="T86" s="6791" t="s">
        <v>573</v>
      </c>
      <c r="U86" s="6783"/>
      <c r="V86" s="6598"/>
      <c r="W86" s="6599"/>
      <c r="X86" s="6599"/>
      <c r="Y86" s="6599"/>
      <c r="Z86" s="6599"/>
      <c r="AA86" s="6599"/>
      <c r="AB86" s="6600"/>
      <c r="AC86" s="6792"/>
      <c r="AD86" s="6793"/>
      <c r="AE86" s="6793"/>
      <c r="AF86" s="6793"/>
      <c r="AG86" s="6793"/>
      <c r="AH86" s="6793"/>
      <c r="AI86" s="6793"/>
      <c r="AJ86" s="6598"/>
      <c r="AK86" s="6599"/>
      <c r="AL86" s="6599"/>
      <c r="AM86" s="6599"/>
      <c r="AN86" s="6599"/>
      <c r="AO86" s="6599"/>
      <c r="AP86" s="6600"/>
      <c r="AQ86" s="6598"/>
      <c r="AR86" s="6599"/>
      <c r="AS86" s="6599"/>
      <c r="AT86" s="6599"/>
      <c r="AU86" s="6599"/>
      <c r="AV86" s="6599"/>
      <c r="AW86" s="6600"/>
      <c r="AX86" s="6598"/>
      <c r="AY86" s="6599"/>
      <c r="AZ86" s="6599"/>
      <c r="BA86" s="6599"/>
      <c r="BB86" s="6599"/>
      <c r="BC86" s="6599"/>
      <c r="BD86" s="6600"/>
      <c r="BE86" s="6794"/>
      <c r="BF86" s="6784" t="s">
        <v>574</v>
      </c>
      <c r="BG86" s="6687"/>
      <c r="BH86" s="6785"/>
      <c r="BI86" s="6785" t="str">
        <f>IF(T86="","",T86)</f>
        <v>Наименование признака дифференциации</v>
      </c>
      <c r="BJ86" s="6785"/>
      <c r="BK86" s="6785"/>
      <c r="BL86" s="6591">
        <v>0</v>
      </c>
    </row>
    <row s="7318" customFormat="1" customHeight="1" ht="23.25">
      <c r="A87" s="6773"/>
      <c r="B87" s="6773"/>
      <c r="C87" s="6773"/>
      <c r="D87" s="6773"/>
      <c r="E87" s="6774"/>
      <c r="F87" s="6774">
        <v>1</v>
      </c>
      <c r="G87" s="6774"/>
      <c r="H87" s="6774"/>
      <c r="I87" s="6796"/>
      <c r="J87" s="6787" t="str">
        <f>I86&amp;".1"</f>
        <v>1.2.1.1.1</v>
      </c>
      <c r="K87" s="6773"/>
      <c r="L87" s="6776" t="s">
        <v>499</v>
      </c>
      <c r="M87" s="6788"/>
      <c r="N87" s="6788"/>
      <c r="O87" s="6788"/>
      <c r="P87" s="6789"/>
      <c r="Q87" s="6789">
        <v>1</v>
      </c>
      <c r="R87" s="6797"/>
      <c r="S87" s="6781" t="str">
        <f>$J87</f>
        <v>1.2.1.1.1</v>
      </c>
      <c r="T87" s="6798" t="s">
        <v>500</v>
      </c>
      <c r="U87" s="6783"/>
      <c r="V87" s="6601"/>
      <c r="W87" s="6602"/>
      <c r="X87" s="6602"/>
      <c r="Y87" s="6602"/>
      <c r="Z87" s="6602"/>
      <c r="AA87" s="6602"/>
      <c r="AB87" s="6603"/>
      <c r="AC87" s="6601" t="s">
        <v>611</v>
      </c>
      <c r="AD87" s="6602"/>
      <c r="AE87" s="6602"/>
      <c r="AF87" s="6602"/>
      <c r="AG87" s="6602"/>
      <c r="AH87" s="6602"/>
      <c r="AI87" s="6602"/>
      <c r="AJ87" s="6601"/>
      <c r="AK87" s="6602"/>
      <c r="AL87" s="6602"/>
      <c r="AM87" s="6602"/>
      <c r="AN87" s="6602"/>
      <c r="AO87" s="6602"/>
      <c r="AP87" s="6603"/>
      <c r="AQ87" s="6601"/>
      <c r="AR87" s="6602"/>
      <c r="AS87" s="6602"/>
      <c r="AT87" s="6602"/>
      <c r="AU87" s="6602"/>
      <c r="AV87" s="6602"/>
      <c r="AW87" s="6603"/>
      <c r="AX87" s="6601"/>
      <c r="AY87" s="6602"/>
      <c r="AZ87" s="6602"/>
      <c r="BA87" s="6602"/>
      <c r="BB87" s="6602"/>
      <c r="BC87" s="6602"/>
      <c r="BD87" s="6603"/>
      <c r="BE87" s="6603"/>
      <c r="BF87" s="6799" t="s">
        <v>575</v>
      </c>
      <c r="BG87" s="6687"/>
      <c r="BH87" s="6785"/>
      <c r="BI87" s="6785" t="str">
        <f>IF(T87="","",T87)</f>
        <v>Группа потребителей</v>
      </c>
      <c r="BJ87" s="6785"/>
      <c r="BK87" s="6785"/>
      <c r="BL87" s="6591">
        <v>0</v>
      </c>
    </row>
    <row s="7319" customFormat="1" customHeight="1" ht="23.25">
      <c r="A88" s="6773"/>
      <c r="B88" s="6773"/>
      <c r="C88" s="6773"/>
      <c r="D88" s="6773"/>
      <c r="E88" s="6774"/>
      <c r="F88" s="6774">
        <v>1</v>
      </c>
      <c r="G88" s="6774"/>
      <c r="H88" s="6774"/>
      <c r="I88" s="6796"/>
      <c r="J88" s="6796"/>
      <c r="K88" s="6787" t="str">
        <f>J87&amp;".1"</f>
        <v>1.2.1.1.1.1</v>
      </c>
      <c r="L88" s="6776"/>
      <c r="M88" s="6788"/>
      <c r="N88" s="6788"/>
      <c r="O88" s="6788"/>
      <c r="P88" s="6789"/>
      <c r="Q88" s="6789"/>
      <c r="R88" s="6797">
        <v>1</v>
      </c>
      <c r="S88" s="6781" t="str">
        <f>$K88</f>
        <v>1.2.1.1.1.1</v>
      </c>
      <c r="T88" s="6801" t="s">
        <v>569</v>
      </c>
      <c r="U88" s="6783"/>
      <c r="V88" s="6604"/>
      <c r="W88" s="6604"/>
      <c r="X88" s="6605"/>
      <c r="Y88" s="6606"/>
      <c r="Z88" s="6607" t="s">
        <v>66</v>
      </c>
      <c r="AA88" s="6606"/>
      <c r="AB88" s="6607" t="s">
        <v>66</v>
      </c>
      <c r="AC88" s="6604">
        <v>31.88</v>
      </c>
      <c r="AD88" s="6604"/>
      <c r="AE88" s="6605"/>
      <c r="AF88" s="6606">
        <v>45658.61309027778</v>
      </c>
      <c r="AG88" s="6607" t="s">
        <v>66</v>
      </c>
      <c r="AH88" s="6707">
        <v>46022.613171296296</v>
      </c>
      <c r="AI88" s="6607" t="s">
        <v>66</v>
      </c>
      <c r="AJ88" s="6604">
        <v>29.76</v>
      </c>
      <c r="AK88" s="6604"/>
      <c r="AL88" s="6605"/>
      <c r="AM88" s="6606">
        <v>46023.640173611115</v>
      </c>
      <c r="AN88" s="6607" t="s">
        <v>66</v>
      </c>
      <c r="AO88" s="6606">
        <v>46387.64030092592</v>
      </c>
      <c r="AP88" s="6607" t="s">
        <v>66</v>
      </c>
      <c r="AQ88" s="6604">
        <v>30.63</v>
      </c>
      <c r="AR88" s="6604"/>
      <c r="AS88" s="6605"/>
      <c r="AT88" s="6606">
        <v>46388.640439814815</v>
      </c>
      <c r="AU88" s="6607" t="s">
        <v>66</v>
      </c>
      <c r="AV88" s="6606">
        <v>46752.64071759259</v>
      </c>
      <c r="AW88" s="6607" t="s">
        <v>66</v>
      </c>
      <c r="AX88" s="6604">
        <v>31.53</v>
      </c>
      <c r="AY88" s="6604"/>
      <c r="AZ88" s="6605"/>
      <c r="BA88" s="6606">
        <v>46753.64152777778</v>
      </c>
      <c r="BB88" s="6607" t="s">
        <v>66</v>
      </c>
      <c r="BC88" s="6606">
        <v>47118.641701388886</v>
      </c>
      <c r="BD88" s="6607" t="s">
        <v>66</v>
      </c>
      <c r="BE88" s="6802"/>
      <c r="BF88" s="68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88" s="6687">
        <f>STRCHECKDATE(V89:BE89)</f>
      </c>
      <c r="BH88" s="6785"/>
      <c r="BI88" s="6785" t="str">
        <f>IF(T88="","",T88)</f>
        <v>без НДС</v>
      </c>
      <c r="BJ88" s="6785"/>
      <c r="BK88" s="6785"/>
      <c r="BL88" s="6591">
        <v>0</v>
      </c>
    </row>
    <row s="7320" customFormat="1" customHeight="1" ht="14.25">
      <c r="A89" s="6773"/>
      <c r="B89" s="6773"/>
      <c r="C89" s="6773"/>
      <c r="D89" s="6773"/>
      <c r="E89" s="6774"/>
      <c r="F89" s="6774">
        <v>1</v>
      </c>
      <c r="G89" s="6774"/>
      <c r="H89" s="6774"/>
      <c r="I89" s="6796"/>
      <c r="J89" s="6796"/>
      <c r="K89" s="6787"/>
      <c r="L89" s="6776"/>
      <c r="M89" s="6788"/>
      <c r="N89" s="6788"/>
      <c r="O89" s="6788"/>
      <c r="P89" s="6789"/>
      <c r="Q89" s="6789"/>
      <c r="R89" s="6797"/>
      <c r="S89" s="6805"/>
      <c r="T89" s="6783"/>
      <c r="U89" s="6783"/>
      <c r="V89" s="6609"/>
      <c r="W89" s="6609"/>
      <c r="X89" s="6610" t="str">
        <f>Y88&amp;"-"&amp;AA88</f>
        <v>-</v>
      </c>
      <c r="Y89" s="6611"/>
      <c r="Z89" s="6607"/>
      <c r="AA89" s="6611"/>
      <c r="AB89" s="6607"/>
      <c r="AC89" s="6609"/>
      <c r="AD89" s="6609"/>
      <c r="AE89" s="6610" t="str">
        <f>AF88&amp;"-"&amp;AH88</f>
        <v>45658.61309027778-46022.613171296296</v>
      </c>
      <c r="AF89" s="6611"/>
      <c r="AG89" s="6607"/>
      <c r="AH89" s="6708"/>
      <c r="AI89" s="6607"/>
      <c r="AJ89" s="6609"/>
      <c r="AK89" s="6609"/>
      <c r="AL89" s="6610" t="str">
        <f>AM88&amp;"-"&amp;AO88</f>
        <v>46023.640173611115-46387.64030092592</v>
      </c>
      <c r="AM89" s="6611"/>
      <c r="AN89" s="6607"/>
      <c r="AO89" s="6611"/>
      <c r="AP89" s="6607"/>
      <c r="AQ89" s="6609"/>
      <c r="AR89" s="6609"/>
      <c r="AS89" s="6610" t="str">
        <f>AT88&amp;"-"&amp;AV88</f>
        <v>46388.640439814815-46752.64071759259</v>
      </c>
      <c r="AT89" s="6611"/>
      <c r="AU89" s="6607"/>
      <c r="AV89" s="6611"/>
      <c r="AW89" s="6607"/>
      <c r="AX89" s="6609"/>
      <c r="AY89" s="6609"/>
      <c r="AZ89" s="6610" t="str">
        <f>BA88&amp;"-"&amp;BC88</f>
        <v>46753.64152777778-47118.641701388886</v>
      </c>
      <c r="BA89" s="6611"/>
      <c r="BB89" s="6607"/>
      <c r="BC89" s="6611"/>
      <c r="BD89" s="6607"/>
      <c r="BE89" s="6806"/>
      <c r="BF89" s="6803"/>
      <c r="BG89" s="6687"/>
      <c r="BH89" s="6785"/>
      <c r="BI89" s="6785" t="str">
        <f>IF(T89="","",T89)</f>
        <v/>
      </c>
      <c r="BJ89" s="6785"/>
      <c r="BK89" s="6785"/>
      <c r="BL89" s="6591">
        <v>0</v>
      </c>
    </row>
    <row s="7321" customFormat="1" customHeight="1" ht="21">
      <c r="A90" s="6773"/>
      <c r="B90" s="6773"/>
      <c r="C90" s="6773"/>
      <c r="D90" s="6773"/>
      <c r="E90" s="6774"/>
      <c r="F90" s="6774">
        <v>1</v>
      </c>
      <c r="G90" s="6774"/>
      <c r="H90" s="6774"/>
      <c r="I90" s="6796"/>
      <c r="J90" s="6787"/>
      <c r="K90" s="6773"/>
      <c r="L90" s="6776"/>
      <c r="M90" s="6788"/>
      <c r="N90" s="6788"/>
      <c r="O90" s="6788"/>
      <c r="P90" s="6789"/>
      <c r="Q90" s="6789"/>
      <c r="R90" s="6790"/>
      <c r="S90" s="7322"/>
      <c r="T90" s="7323" t="s">
        <v>576</v>
      </c>
      <c r="U90" s="7324"/>
      <c r="V90" s="7325"/>
      <c r="W90" s="7326"/>
      <c r="X90" s="7327"/>
      <c r="Y90" s="7328"/>
      <c r="Z90" s="7329"/>
      <c r="AA90" s="7330"/>
      <c r="AB90" s="7331"/>
      <c r="AC90" s="7332"/>
      <c r="AD90" s="7333"/>
      <c r="AE90" s="7334"/>
      <c r="AF90" s="7335"/>
      <c r="AG90" s="7336"/>
      <c r="AH90" s="7337"/>
      <c r="AI90" s="7338"/>
      <c r="AJ90" s="7339"/>
      <c r="AK90" s="7340"/>
      <c r="AL90" s="7341"/>
      <c r="AM90" s="7342"/>
      <c r="AN90" s="7343"/>
      <c r="AO90" s="7344"/>
      <c r="AP90" s="7345"/>
      <c r="AQ90" s="7346"/>
      <c r="AR90" s="7347"/>
      <c r="AS90" s="7348"/>
      <c r="AT90" s="7349"/>
      <c r="AU90" s="7350"/>
      <c r="AV90" s="7351"/>
      <c r="AW90" s="7352"/>
      <c r="AX90" s="7353"/>
      <c r="AY90" s="7354"/>
      <c r="AZ90" s="7355"/>
      <c r="BA90" s="7356"/>
      <c r="BB90" s="7357"/>
      <c r="BC90" s="7358"/>
      <c r="BD90" s="7359"/>
      <c r="BE90" s="7360"/>
      <c r="BF90" s="6784" t="s">
        <v>577</v>
      </c>
      <c r="BG90" s="6687"/>
      <c r="BH90" s="6785"/>
      <c r="BI90" s="6785" t="str">
        <f>IF(T90="","",T90)</f>
        <v>Добавить значение признака дифференциации</v>
      </c>
      <c r="BJ90" s="6785"/>
      <c r="BK90" s="6785"/>
      <c r="BL90" s="6591">
        <v>0</v>
      </c>
    </row>
    <row s="7361" customFormat="1" customHeight="1" ht="21">
      <c r="A91" s="6773"/>
      <c r="B91" s="6773"/>
      <c r="C91" s="6773"/>
      <c r="D91" s="6773"/>
      <c r="E91" s="6774"/>
      <c r="F91" s="6774">
        <v>1</v>
      </c>
      <c r="G91" s="6774"/>
      <c r="H91" s="6774"/>
      <c r="I91" s="6787"/>
      <c r="J91" s="6773"/>
      <c r="K91" s="6773"/>
      <c r="L91" s="6776"/>
      <c r="M91" s="6788"/>
      <c r="N91" s="6788"/>
      <c r="O91" s="6788"/>
      <c r="P91" s="6789"/>
      <c r="Q91" s="6789"/>
      <c r="R91" s="6790"/>
      <c r="S91" s="7362"/>
      <c r="T91" s="7363" t="s">
        <v>505</v>
      </c>
      <c r="U91" s="7364"/>
      <c r="V91" s="7365"/>
      <c r="W91" s="7366"/>
      <c r="X91" s="7367"/>
      <c r="Y91" s="7368"/>
      <c r="Z91" s="7369"/>
      <c r="AA91" s="7370"/>
      <c r="AB91" s="7371"/>
      <c r="AC91" s="7372"/>
      <c r="AD91" s="7373"/>
      <c r="AE91" s="7374"/>
      <c r="AF91" s="7375"/>
      <c r="AG91" s="7376"/>
      <c r="AH91" s="7377"/>
      <c r="AI91" s="7378"/>
      <c r="AJ91" s="7379"/>
      <c r="AK91" s="7380"/>
      <c r="AL91" s="7381"/>
      <c r="AM91" s="7382"/>
      <c r="AN91" s="7383"/>
      <c r="AO91" s="7384"/>
      <c r="AP91" s="7385"/>
      <c r="AQ91" s="7386"/>
      <c r="AR91" s="7387"/>
      <c r="AS91" s="7388"/>
      <c r="AT91" s="7389"/>
      <c r="AU91" s="7390"/>
      <c r="AV91" s="7391"/>
      <c r="AW91" s="7392"/>
      <c r="AX91" s="7393"/>
      <c r="AY91" s="7394"/>
      <c r="AZ91" s="7395"/>
      <c r="BA91" s="7396"/>
      <c r="BB91" s="7397"/>
      <c r="BC91" s="7398"/>
      <c r="BD91" s="7399"/>
      <c r="BE91" s="7400"/>
      <c r="BF91" s="7401"/>
      <c r="BG91" s="6687"/>
      <c r="BH91" s="6785"/>
      <c r="BI91" s="6785" t="str">
        <f>IF(T91="","",T91)</f>
        <v>Добавить группу потребителей</v>
      </c>
      <c r="BJ91" s="6785"/>
      <c r="BK91" s="6785"/>
      <c r="BL91" s="6591">
        <v>0</v>
      </c>
    </row>
    <row s="7402" customFormat="1" customHeight="1" ht="21">
      <c r="A92" s="6773"/>
      <c r="B92" s="6773"/>
      <c r="C92" s="6773"/>
      <c r="D92" s="6773"/>
      <c r="E92" s="6774"/>
      <c r="F92" s="6774">
        <v>1</v>
      </c>
      <c r="G92" s="6774"/>
      <c r="H92" s="6775"/>
      <c r="I92" s="6773"/>
      <c r="J92" s="6773"/>
      <c r="K92" s="6773"/>
      <c r="L92" s="6776"/>
      <c r="M92" s="6777"/>
      <c r="N92" s="6777"/>
      <c r="O92" s="6678"/>
      <c r="P92" s="6889"/>
      <c r="Q92" s="6890"/>
      <c r="R92" s="6891"/>
      <c r="S92" s="7403"/>
      <c r="T92" s="7404" t="s">
        <v>578</v>
      </c>
      <c r="U92" s="7405"/>
      <c r="V92" s="7406"/>
      <c r="W92" s="7407"/>
      <c r="X92" s="7408"/>
      <c r="Y92" s="7409"/>
      <c r="Z92" s="7410"/>
      <c r="AA92" s="7411"/>
      <c r="AB92" s="7412"/>
      <c r="AC92" s="7413"/>
      <c r="AD92" s="7414"/>
      <c r="AE92" s="7415"/>
      <c r="AF92" s="7416"/>
      <c r="AG92" s="7417"/>
      <c r="AH92" s="7418"/>
      <c r="AI92" s="7419"/>
      <c r="AJ92" s="7420"/>
      <c r="AK92" s="7421"/>
      <c r="AL92" s="7422"/>
      <c r="AM92" s="7423"/>
      <c r="AN92" s="7424"/>
      <c r="AO92" s="7425"/>
      <c r="AP92" s="7426"/>
      <c r="AQ92" s="7427"/>
      <c r="AR92" s="7428"/>
      <c r="AS92" s="7429"/>
      <c r="AT92" s="7430"/>
      <c r="AU92" s="7431"/>
      <c r="AV92" s="7432"/>
      <c r="AW92" s="7433"/>
      <c r="AX92" s="7434"/>
      <c r="AY92" s="7435"/>
      <c r="AZ92" s="7436"/>
      <c r="BA92" s="7437"/>
      <c r="BB92" s="7438"/>
      <c r="BC92" s="7439"/>
      <c r="BD92" s="7440"/>
      <c r="BE92" s="7441"/>
      <c r="BF92" s="7442"/>
      <c r="BG92" s="6687"/>
      <c r="BH92" s="6785"/>
      <c r="BI92" s="6785" t="str">
        <f>IF(T92="","",T92)</f>
        <v>Добавить наименование признака дифференциации</v>
      </c>
      <c r="BJ92" s="6785"/>
      <c r="BK92" s="6785"/>
      <c r="BL92" s="6591">
        <v>0</v>
      </c>
    </row>
    <row s="7443" customFormat="1" customHeight="1" ht="23.25">
      <c r="A93" s="6773"/>
      <c r="B93" s="6773"/>
      <c r="C93" s="6773" t="s">
        <v>318</v>
      </c>
      <c r="D93" s="6773"/>
      <c r="E93" s="6774"/>
      <c r="F93" s="6774"/>
      <c r="G93" s="6775" t="s">
        <v>103</v>
      </c>
      <c r="H93" s="6773"/>
      <c r="I93" s="6773"/>
      <c r="J93" s="6773"/>
      <c r="K93" s="6773"/>
      <c r="L93" s="6776"/>
      <c r="M93" s="6777"/>
      <c r="N93" s="6777"/>
      <c r="O93" s="6777"/>
      <c r="P93" s="6778"/>
      <c r="Q93" s="6779"/>
      <c r="R93" s="6780"/>
      <c r="S93" s="6781" t="str">
        <f>INDEX(PT_DIFFERENTIATION_NUM_CS,MATCH(C93,PT_DIFFERENTIATION_CS_ID,0))</f>
        <v>1.2.2</v>
      </c>
      <c r="T93" s="6782" t="s">
        <v>606</v>
      </c>
      <c r="U93" s="6783"/>
      <c r="V93" s="6593"/>
      <c r="W93" s="6594"/>
      <c r="X93" s="6594"/>
      <c r="Y93" s="6594"/>
      <c r="Z93" s="6594"/>
      <c r="AA93" s="6594"/>
      <c r="AB93" s="6595"/>
      <c r="AC93" s="6593" t="str">
        <f>INDEX(PT_DIFFERENTIATION_CS,MATCH(C93,PT_DIFFERENTIATION_CS_ID,0))</f>
        <v>с. Романовка</v>
      </c>
      <c r="AD93" s="6594"/>
      <c r="AE93" s="6594"/>
      <c r="AF93" s="6594"/>
      <c r="AG93" s="6594"/>
      <c r="AH93" s="6594"/>
      <c r="AI93" s="6594"/>
      <c r="AJ93" s="6593"/>
      <c r="AK93" s="6594"/>
      <c r="AL93" s="6594"/>
      <c r="AM93" s="6594"/>
      <c r="AN93" s="6594"/>
      <c r="AO93" s="6594"/>
      <c r="AP93" s="6595"/>
      <c r="AQ93" s="6593"/>
      <c r="AR93" s="6594"/>
      <c r="AS93" s="6594"/>
      <c r="AT93" s="6594"/>
      <c r="AU93" s="6594"/>
      <c r="AV93" s="6594"/>
      <c r="AW93" s="6595"/>
      <c r="AX93" s="6593"/>
      <c r="AY93" s="6594"/>
      <c r="AZ93" s="6594"/>
      <c r="BA93" s="6594"/>
      <c r="BB93" s="6594"/>
      <c r="BC93" s="6594"/>
      <c r="BD93" s="6595"/>
      <c r="BE93" s="6595"/>
      <c r="BF93" s="6784" t="s">
        <v>607</v>
      </c>
      <c r="BG93" s="6687"/>
      <c r="BH93" s="6785"/>
      <c r="BI93" s="6785" t="str">
        <f>IF(T93="","",T93)</f>
        <v>Наименование централизованной системы водоотведения</v>
      </c>
      <c r="BJ93" s="6785"/>
      <c r="BK93" s="6785"/>
      <c r="BL93" s="6591">
        <v>0</v>
      </c>
    </row>
    <row s="7444" customFormat="1" customHeight="1" ht="23.25">
      <c r="A94" s="6773"/>
      <c r="B94" s="6773"/>
      <c r="C94" s="6773"/>
      <c r="D94" s="6773"/>
      <c r="E94" s="6774"/>
      <c r="F94" s="6774"/>
      <c r="G94" s="6774">
        <v>1</v>
      </c>
      <c r="H94" s="6774"/>
      <c r="I94" s="6787" t="str">
        <f>S93&amp;".1"</f>
        <v>1.2.2.1</v>
      </c>
      <c r="J94" s="6773"/>
      <c r="K94" s="6773"/>
      <c r="L94" s="6776"/>
      <c r="M94" s="6788"/>
      <c r="N94" s="6788"/>
      <c r="O94" s="6788"/>
      <c r="P94" s="6789">
        <v>1</v>
      </c>
      <c r="Q94" s="6789"/>
      <c r="R94" s="6790"/>
      <c r="S94" s="6781" t="str">
        <f>$I94</f>
        <v>1.2.2.1</v>
      </c>
      <c r="T94" s="6791" t="s">
        <v>573</v>
      </c>
      <c r="U94" s="6783"/>
      <c r="V94" s="6598"/>
      <c r="W94" s="6599"/>
      <c r="X94" s="6599"/>
      <c r="Y94" s="6599"/>
      <c r="Z94" s="6599"/>
      <c r="AA94" s="6599"/>
      <c r="AB94" s="6600"/>
      <c r="AC94" s="6792"/>
      <c r="AD94" s="6793"/>
      <c r="AE94" s="6793"/>
      <c r="AF94" s="6793"/>
      <c r="AG94" s="6793"/>
      <c r="AH94" s="6793"/>
      <c r="AI94" s="6793"/>
      <c r="AJ94" s="6598"/>
      <c r="AK94" s="6599"/>
      <c r="AL94" s="6599"/>
      <c r="AM94" s="6599"/>
      <c r="AN94" s="6599"/>
      <c r="AO94" s="6599"/>
      <c r="AP94" s="6600"/>
      <c r="AQ94" s="6598"/>
      <c r="AR94" s="6599"/>
      <c r="AS94" s="6599"/>
      <c r="AT94" s="6599"/>
      <c r="AU94" s="6599"/>
      <c r="AV94" s="6599"/>
      <c r="AW94" s="6600"/>
      <c r="AX94" s="6598"/>
      <c r="AY94" s="6599"/>
      <c r="AZ94" s="6599"/>
      <c r="BA94" s="6599"/>
      <c r="BB94" s="6599"/>
      <c r="BC94" s="6599"/>
      <c r="BD94" s="6600"/>
      <c r="BE94" s="6794"/>
      <c r="BF94" s="6784" t="s">
        <v>574</v>
      </c>
      <c r="BG94" s="6687"/>
      <c r="BH94" s="6785"/>
      <c r="BI94" s="6785" t="str">
        <f>IF(T94="","",T94)</f>
        <v>Наименование признака дифференциации</v>
      </c>
      <c r="BJ94" s="6785"/>
      <c r="BK94" s="6785"/>
      <c r="BL94" s="6591">
        <v>0</v>
      </c>
    </row>
    <row s="7445" customFormat="1" customHeight="1" ht="23.25">
      <c r="A95" s="6773"/>
      <c r="B95" s="6773"/>
      <c r="C95" s="6773"/>
      <c r="D95" s="6773"/>
      <c r="E95" s="6774"/>
      <c r="F95" s="6774"/>
      <c r="G95" s="6774">
        <v>1</v>
      </c>
      <c r="H95" s="6774"/>
      <c r="I95" s="6796"/>
      <c r="J95" s="6787" t="str">
        <f>I94&amp;".1"</f>
        <v>1.2.2.1.1</v>
      </c>
      <c r="K95" s="6773"/>
      <c r="L95" s="6776" t="s">
        <v>499</v>
      </c>
      <c r="M95" s="6788"/>
      <c r="N95" s="6788"/>
      <c r="O95" s="6788"/>
      <c r="P95" s="6789"/>
      <c r="Q95" s="6789">
        <v>1</v>
      </c>
      <c r="R95" s="6797"/>
      <c r="S95" s="6781" t="str">
        <f>$J95</f>
        <v>1.2.2.1.1</v>
      </c>
      <c r="T95" s="6798" t="s">
        <v>500</v>
      </c>
      <c r="U95" s="6783"/>
      <c r="V95" s="6601"/>
      <c r="W95" s="6602"/>
      <c r="X95" s="6602"/>
      <c r="Y95" s="6602"/>
      <c r="Z95" s="6602"/>
      <c r="AA95" s="6602"/>
      <c r="AB95" s="6603"/>
      <c r="AC95" s="6601" t="s">
        <v>611</v>
      </c>
      <c r="AD95" s="6602"/>
      <c r="AE95" s="6602"/>
      <c r="AF95" s="6602"/>
      <c r="AG95" s="6602"/>
      <c r="AH95" s="6602"/>
      <c r="AI95" s="6602"/>
      <c r="AJ95" s="6601"/>
      <c r="AK95" s="6602"/>
      <c r="AL95" s="6602"/>
      <c r="AM95" s="6602"/>
      <c r="AN95" s="6602"/>
      <c r="AO95" s="6602"/>
      <c r="AP95" s="6603"/>
      <c r="AQ95" s="6601"/>
      <c r="AR95" s="6602"/>
      <c r="AS95" s="6602"/>
      <c r="AT95" s="6602"/>
      <c r="AU95" s="6602"/>
      <c r="AV95" s="6602"/>
      <c r="AW95" s="6603"/>
      <c r="AX95" s="6601"/>
      <c r="AY95" s="6602"/>
      <c r="AZ95" s="6602"/>
      <c r="BA95" s="6602"/>
      <c r="BB95" s="6602"/>
      <c r="BC95" s="6602"/>
      <c r="BD95" s="6603"/>
      <c r="BE95" s="6603"/>
      <c r="BF95" s="6799" t="s">
        <v>575</v>
      </c>
      <c r="BG95" s="6687"/>
      <c r="BH95" s="6785"/>
      <c r="BI95" s="6785" t="str">
        <f>IF(T95="","",T95)</f>
        <v>Группа потребителей</v>
      </c>
      <c r="BJ95" s="6785"/>
      <c r="BK95" s="6785"/>
      <c r="BL95" s="6591">
        <v>0</v>
      </c>
    </row>
    <row s="7446" customFormat="1" customHeight="1" ht="23.25">
      <c r="A96" s="6773"/>
      <c r="B96" s="6773"/>
      <c r="C96" s="6773"/>
      <c r="D96" s="6773"/>
      <c r="E96" s="6774"/>
      <c r="F96" s="6774"/>
      <c r="G96" s="6774">
        <v>1</v>
      </c>
      <c r="H96" s="6774"/>
      <c r="I96" s="6796"/>
      <c r="J96" s="6796"/>
      <c r="K96" s="6787" t="str">
        <f>J95&amp;".1"</f>
        <v>1.2.2.1.1.1</v>
      </c>
      <c r="L96" s="6776"/>
      <c r="M96" s="6788"/>
      <c r="N96" s="6788"/>
      <c r="O96" s="6788"/>
      <c r="P96" s="6789"/>
      <c r="Q96" s="6789"/>
      <c r="R96" s="6797">
        <v>1</v>
      </c>
      <c r="S96" s="6781" t="str">
        <f>$K96</f>
        <v>1.2.2.1.1.1</v>
      </c>
      <c r="T96" s="6801"/>
      <c r="U96" s="6783"/>
      <c r="V96" s="6604"/>
      <c r="W96" s="6604"/>
      <c r="X96" s="6605"/>
      <c r="Y96" s="6606"/>
      <c r="Z96" s="6607" t="s">
        <v>66</v>
      </c>
      <c r="AA96" s="6606"/>
      <c r="AB96" s="6607" t="s">
        <v>66</v>
      </c>
      <c r="AC96" s="6604">
        <v>42.23</v>
      </c>
      <c r="AD96" s="6604"/>
      <c r="AE96" s="6605"/>
      <c r="AF96" s="6606">
        <v>45658.61347222222</v>
      </c>
      <c r="AG96" s="6607" t="s">
        <v>66</v>
      </c>
      <c r="AH96" s="6707">
        <v>46022.61356481481</v>
      </c>
      <c r="AI96" s="6607" t="s">
        <v>66</v>
      </c>
      <c r="AJ96" s="6604">
        <v>40.45</v>
      </c>
      <c r="AK96" s="6604"/>
      <c r="AL96" s="6605"/>
      <c r="AM96" s="6606">
        <v>46023.63916666667</v>
      </c>
      <c r="AN96" s="6607" t="s">
        <v>66</v>
      </c>
      <c r="AO96" s="6606">
        <v>46387.639328703706</v>
      </c>
      <c r="AP96" s="6607" t="s">
        <v>66</v>
      </c>
      <c r="AQ96" s="6604">
        <v>41.63</v>
      </c>
      <c r="AR96" s="6604"/>
      <c r="AS96" s="6605"/>
      <c r="AT96" s="6606">
        <v>46388.63947916667</v>
      </c>
      <c r="AU96" s="6607" t="s">
        <v>66</v>
      </c>
      <c r="AV96" s="6606">
        <v>46752.63959490741</v>
      </c>
      <c r="AW96" s="6607" t="s">
        <v>66</v>
      </c>
      <c r="AX96" s="6604">
        <v>42.84</v>
      </c>
      <c r="AY96" s="6604"/>
      <c r="AZ96" s="6605"/>
      <c r="BA96" s="6606">
        <v>46753.639710648145</v>
      </c>
      <c r="BB96" s="6607" t="s">
        <v>66</v>
      </c>
      <c r="BC96" s="6606">
        <v>47118.639814814815</v>
      </c>
      <c r="BD96" s="6607" t="s">
        <v>66</v>
      </c>
      <c r="BE96" s="6802"/>
      <c r="BF96" s="68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96" s="6687">
        <f>STRCHECKDATE(V97:BE97)</f>
      </c>
      <c r="BH96" s="6785"/>
      <c r="BI96" s="6785" t="str">
        <f>IF(T96="","",T96)</f>
        <v/>
      </c>
      <c r="BJ96" s="6785"/>
      <c r="BK96" s="6785"/>
      <c r="BL96" s="6591">
        <v>0</v>
      </c>
    </row>
    <row s="7447" customFormat="1" customHeight="1" ht="14.25">
      <c r="A97" s="6773"/>
      <c r="B97" s="6773"/>
      <c r="C97" s="6773"/>
      <c r="D97" s="6773"/>
      <c r="E97" s="6774"/>
      <c r="F97" s="6774"/>
      <c r="G97" s="6774">
        <v>1</v>
      </c>
      <c r="H97" s="6774"/>
      <c r="I97" s="6796"/>
      <c r="J97" s="6796"/>
      <c r="K97" s="6787"/>
      <c r="L97" s="6776"/>
      <c r="M97" s="6788"/>
      <c r="N97" s="6788"/>
      <c r="O97" s="6788"/>
      <c r="P97" s="6789"/>
      <c r="Q97" s="6789"/>
      <c r="R97" s="6797"/>
      <c r="S97" s="6805"/>
      <c r="T97" s="6783"/>
      <c r="U97" s="6783"/>
      <c r="V97" s="6609"/>
      <c r="W97" s="6609"/>
      <c r="X97" s="6610" t="str">
        <f>Y96&amp;"-"&amp;AA96</f>
        <v>-</v>
      </c>
      <c r="Y97" s="6611"/>
      <c r="Z97" s="6607"/>
      <c r="AA97" s="6611"/>
      <c r="AB97" s="6607"/>
      <c r="AC97" s="6609"/>
      <c r="AD97" s="6609"/>
      <c r="AE97" s="6610" t="str">
        <f>AF96&amp;"-"&amp;AH96</f>
        <v>45658.61347222222-46022.61356481481</v>
      </c>
      <c r="AF97" s="6611"/>
      <c r="AG97" s="6607"/>
      <c r="AH97" s="6708"/>
      <c r="AI97" s="6607"/>
      <c r="AJ97" s="6609"/>
      <c r="AK97" s="6609"/>
      <c r="AL97" s="6610" t="str">
        <f>AM96&amp;"-"&amp;AO96</f>
        <v>46023.63916666667-46387.639328703706</v>
      </c>
      <c r="AM97" s="6611"/>
      <c r="AN97" s="6607"/>
      <c r="AO97" s="6611"/>
      <c r="AP97" s="6607"/>
      <c r="AQ97" s="6609"/>
      <c r="AR97" s="6609"/>
      <c r="AS97" s="6610" t="str">
        <f>AT96&amp;"-"&amp;AV96</f>
        <v>46388.63947916667-46752.63959490741</v>
      </c>
      <c r="AT97" s="6611"/>
      <c r="AU97" s="6607"/>
      <c r="AV97" s="6611"/>
      <c r="AW97" s="6607"/>
      <c r="AX97" s="6609"/>
      <c r="AY97" s="6609"/>
      <c r="AZ97" s="6610" t="str">
        <f>BA96&amp;"-"&amp;BC96</f>
        <v>46753.639710648145-47118.639814814815</v>
      </c>
      <c r="BA97" s="6611"/>
      <c r="BB97" s="6607"/>
      <c r="BC97" s="6611"/>
      <c r="BD97" s="6607"/>
      <c r="BE97" s="6806"/>
      <c r="BF97" s="6803"/>
      <c r="BG97" s="6687"/>
      <c r="BH97" s="6785"/>
      <c r="BI97" s="6785" t="str">
        <f>IF(T97="","",T97)</f>
        <v/>
      </c>
      <c r="BJ97" s="6785"/>
      <c r="BK97" s="6785"/>
      <c r="BL97" s="6591">
        <v>0</v>
      </c>
    </row>
    <row s="7448" customFormat="1" customHeight="1" ht="21">
      <c r="A98" s="6773"/>
      <c r="B98" s="6773"/>
      <c r="C98" s="6773"/>
      <c r="D98" s="6773"/>
      <c r="E98" s="6774"/>
      <c r="F98" s="6774"/>
      <c r="G98" s="6774">
        <v>1</v>
      </c>
      <c r="H98" s="6774"/>
      <c r="I98" s="6796"/>
      <c r="J98" s="6787"/>
      <c r="K98" s="6773"/>
      <c r="L98" s="6776"/>
      <c r="M98" s="6788"/>
      <c r="N98" s="6788"/>
      <c r="O98" s="6788"/>
      <c r="P98" s="6789"/>
      <c r="Q98" s="6789"/>
      <c r="R98" s="6790"/>
      <c r="S98" s="7449"/>
      <c r="T98" s="7450" t="s">
        <v>576</v>
      </c>
      <c r="U98" s="7451"/>
      <c r="V98" s="7452"/>
      <c r="W98" s="7453"/>
      <c r="X98" s="7454"/>
      <c r="Y98" s="7455"/>
      <c r="Z98" s="7456"/>
      <c r="AA98" s="7457"/>
      <c r="AB98" s="7458"/>
      <c r="AC98" s="7459"/>
      <c r="AD98" s="7460"/>
      <c r="AE98" s="7461"/>
      <c r="AF98" s="7462"/>
      <c r="AG98" s="7463"/>
      <c r="AH98" s="7464"/>
      <c r="AI98" s="7465"/>
      <c r="AJ98" s="7466"/>
      <c r="AK98" s="7467"/>
      <c r="AL98" s="7468"/>
      <c r="AM98" s="7469"/>
      <c r="AN98" s="7470"/>
      <c r="AO98" s="7471"/>
      <c r="AP98" s="7472"/>
      <c r="AQ98" s="7473"/>
      <c r="AR98" s="7474"/>
      <c r="AS98" s="7475"/>
      <c r="AT98" s="7476"/>
      <c r="AU98" s="7477"/>
      <c r="AV98" s="7478"/>
      <c r="AW98" s="7479"/>
      <c r="AX98" s="7480"/>
      <c r="AY98" s="7481"/>
      <c r="AZ98" s="7482"/>
      <c r="BA98" s="7483"/>
      <c r="BB98" s="7484"/>
      <c r="BC98" s="7485"/>
      <c r="BD98" s="7486"/>
      <c r="BE98" s="7487"/>
      <c r="BF98" s="6784" t="s">
        <v>577</v>
      </c>
      <c r="BG98" s="6687"/>
      <c r="BH98" s="6785"/>
      <c r="BI98" s="6785" t="str">
        <f>IF(T98="","",T98)</f>
        <v>Добавить значение признака дифференциации</v>
      </c>
      <c r="BJ98" s="6785"/>
      <c r="BK98" s="6785"/>
      <c r="BL98" s="6591">
        <v>0</v>
      </c>
    </row>
    <row s="7488" customFormat="1" customHeight="1" ht="21">
      <c r="A99" s="6773"/>
      <c r="B99" s="6773"/>
      <c r="C99" s="6773"/>
      <c r="D99" s="6773"/>
      <c r="E99" s="6774"/>
      <c r="F99" s="6774"/>
      <c r="G99" s="6774">
        <v>1</v>
      </c>
      <c r="H99" s="6774"/>
      <c r="I99" s="6787"/>
      <c r="J99" s="6773"/>
      <c r="K99" s="6773"/>
      <c r="L99" s="6776"/>
      <c r="M99" s="6788"/>
      <c r="N99" s="6788"/>
      <c r="O99" s="6788"/>
      <c r="P99" s="6789"/>
      <c r="Q99" s="6789"/>
      <c r="R99" s="6790"/>
      <c r="S99" s="7489"/>
      <c r="T99" s="7490" t="s">
        <v>505</v>
      </c>
      <c r="U99" s="7491"/>
      <c r="V99" s="7492"/>
      <c r="W99" s="7493"/>
      <c r="X99" s="7494"/>
      <c r="Y99" s="7495"/>
      <c r="Z99" s="7496"/>
      <c r="AA99" s="7497"/>
      <c r="AB99" s="7498"/>
      <c r="AC99" s="7499"/>
      <c r="AD99" s="7500"/>
      <c r="AE99" s="7501"/>
      <c r="AF99" s="7502"/>
      <c r="AG99" s="7503"/>
      <c r="AH99" s="7504"/>
      <c r="AI99" s="7505"/>
      <c r="AJ99" s="7506"/>
      <c r="AK99" s="7507"/>
      <c r="AL99" s="7508"/>
      <c r="AM99" s="7509"/>
      <c r="AN99" s="7510"/>
      <c r="AO99" s="7511"/>
      <c r="AP99" s="7512"/>
      <c r="AQ99" s="7513"/>
      <c r="AR99" s="7514"/>
      <c r="AS99" s="7515"/>
      <c r="AT99" s="7516"/>
      <c r="AU99" s="7517"/>
      <c r="AV99" s="7518"/>
      <c r="AW99" s="7519"/>
      <c r="AX99" s="7520"/>
      <c r="AY99" s="7521"/>
      <c r="AZ99" s="7522"/>
      <c r="BA99" s="7523"/>
      <c r="BB99" s="7524"/>
      <c r="BC99" s="7525"/>
      <c r="BD99" s="7526"/>
      <c r="BE99" s="7527"/>
      <c r="BF99" s="7528"/>
      <c r="BG99" s="6687"/>
      <c r="BH99" s="6785"/>
      <c r="BI99" s="6785" t="str">
        <f>IF(T99="","",T99)</f>
        <v>Добавить группу потребителей</v>
      </c>
      <c r="BJ99" s="6785"/>
      <c r="BK99" s="6785"/>
      <c r="BL99" s="6591">
        <v>0</v>
      </c>
    </row>
    <row s="7529" customFormat="1" customHeight="1" ht="21">
      <c r="A100" s="6773"/>
      <c r="B100" s="6773"/>
      <c r="C100" s="6773"/>
      <c r="D100" s="6773"/>
      <c r="E100" s="6774"/>
      <c r="F100" s="6774"/>
      <c r="G100" s="6774">
        <v>1</v>
      </c>
      <c r="H100" s="6775"/>
      <c r="I100" s="6773"/>
      <c r="J100" s="6773"/>
      <c r="K100" s="6773"/>
      <c r="L100" s="6776"/>
      <c r="M100" s="6777"/>
      <c r="N100" s="6777"/>
      <c r="O100" s="6678"/>
      <c r="P100" s="6889"/>
      <c r="Q100" s="6890"/>
      <c r="R100" s="6891"/>
      <c r="S100" s="7530"/>
      <c r="T100" s="7531" t="s">
        <v>578</v>
      </c>
      <c r="U100" s="7532"/>
      <c r="V100" s="7533"/>
      <c r="W100" s="7534"/>
      <c r="X100" s="7535"/>
      <c r="Y100" s="7536"/>
      <c r="Z100" s="7537"/>
      <c r="AA100" s="7538"/>
      <c r="AB100" s="7539"/>
      <c r="AC100" s="7540"/>
      <c r="AD100" s="7541"/>
      <c r="AE100" s="7542"/>
      <c r="AF100" s="7543"/>
      <c r="AG100" s="7544"/>
      <c r="AH100" s="7545"/>
      <c r="AI100" s="7546"/>
      <c r="AJ100" s="7547"/>
      <c r="AK100" s="7548"/>
      <c r="AL100" s="7549"/>
      <c r="AM100" s="7550"/>
      <c r="AN100" s="7551"/>
      <c r="AO100" s="7552"/>
      <c r="AP100" s="7553"/>
      <c r="AQ100" s="7554"/>
      <c r="AR100" s="7555"/>
      <c r="AS100" s="7556"/>
      <c r="AT100" s="7557"/>
      <c r="AU100" s="7558"/>
      <c r="AV100" s="7559"/>
      <c r="AW100" s="7560"/>
      <c r="AX100" s="7561"/>
      <c r="AY100" s="7562"/>
      <c r="AZ100" s="7563"/>
      <c r="BA100" s="7564"/>
      <c r="BB100" s="7565"/>
      <c r="BC100" s="7566"/>
      <c r="BD100" s="7567"/>
      <c r="BE100" s="7568"/>
      <c r="BF100" s="7569"/>
      <c r="BG100" s="6687"/>
      <c r="BH100" s="6785"/>
      <c r="BI100" s="6785" t="str">
        <f>IF(T100="","",T100)</f>
        <v>Добавить наименование признака дифференциации</v>
      </c>
      <c r="BJ100" s="6785"/>
      <c r="BK100" s="6785"/>
      <c r="BL100" s="6591">
        <v>0</v>
      </c>
    </row>
    <row s="7570" customFormat="1" customHeight="1" ht="14.25">
      <c r="A101" s="7571"/>
      <c r="B101" s="7571"/>
      <c r="C101" s="7571"/>
      <c r="D101" s="7571"/>
      <c r="E101" s="6774"/>
      <c r="F101" s="6775">
        <v>1</v>
      </c>
      <c r="G101" s="7571"/>
      <c r="H101" s="7571"/>
      <c r="I101" s="7571"/>
      <c r="J101" s="7571"/>
      <c r="K101" s="7571"/>
      <c r="L101" s="7572"/>
      <c r="M101" s="7573"/>
      <c r="N101" s="7573"/>
      <c r="O101" s="6687"/>
      <c r="P101" s="7574"/>
      <c r="Q101" s="7575"/>
      <c r="R101" s="7574"/>
      <c r="S101" s="7576"/>
      <c r="T101" s="7577" t="s">
        <v>312</v>
      </c>
      <c r="U101" s="6676"/>
      <c r="V101" s="6676"/>
      <c r="W101" s="6676"/>
      <c r="X101" s="6676"/>
      <c r="Y101" s="6676"/>
      <c r="Z101" s="6676"/>
      <c r="AA101" s="6676"/>
      <c r="AB101" s="6676"/>
      <c r="AC101" s="6676"/>
      <c r="AD101" s="6676"/>
      <c r="AE101" s="6676"/>
      <c r="AF101" s="6676"/>
      <c r="AG101" s="6676"/>
      <c r="AH101" s="6676"/>
      <c r="AI101" s="6676"/>
      <c r="AJ101" s="6676"/>
      <c r="AK101" s="6676"/>
      <c r="AL101" s="6676"/>
      <c r="AM101" s="6676"/>
      <c r="AN101" s="6676"/>
      <c r="AO101" s="6676"/>
      <c r="AP101" s="6676"/>
      <c r="AQ101" s="6676"/>
      <c r="AR101" s="6676"/>
      <c r="AS101" s="6676"/>
      <c r="AT101" s="6676"/>
      <c r="AU101" s="6676"/>
      <c r="AV101" s="6676"/>
      <c r="AW101" s="6676"/>
      <c r="AX101" s="6676"/>
      <c r="AY101" s="6676"/>
      <c r="AZ101" s="6676"/>
      <c r="BA101" s="6676"/>
      <c r="BB101" s="6676"/>
      <c r="BC101" s="6676"/>
      <c r="BD101" s="6676"/>
      <c r="BE101" s="6676"/>
      <c r="BF101" s="6676"/>
      <c r="BG101" s="6687"/>
      <c r="BH101" s="6785"/>
      <c r="BI101" s="6785" t="str">
        <f>IF(T101="","",T101)</f>
        <v>Добавить централизованную систему для дифференциации</v>
      </c>
      <c r="BJ101" s="6785"/>
      <c r="BK101" s="6785"/>
      <c r="BL101" s="6687">
        <v>0</v>
      </c>
    </row>
    <row s="7578" customFormat="1" customHeight="1" ht="23.25">
      <c r="A102" s="6773"/>
      <c r="B102" s="6773" t="s">
        <v>321</v>
      </c>
      <c r="C102" s="6773"/>
      <c r="D102" s="6773"/>
      <c r="E102" s="6774"/>
      <c r="F102" s="6775" t="s">
        <v>90</v>
      </c>
      <c r="G102" s="6773"/>
      <c r="H102" s="6773"/>
      <c r="I102" s="6773"/>
      <c r="J102" s="6773"/>
      <c r="K102" s="6773"/>
      <c r="L102" s="6776"/>
      <c r="M102" s="6777"/>
      <c r="N102" s="6777"/>
      <c r="O102" s="6777"/>
      <c r="P102" s="7314"/>
      <c r="Q102" s="6779"/>
      <c r="R102" s="6780"/>
      <c r="S102" s="6781" t="str">
        <f>INDEX(PT_DIFFERENTIATION_NUM_TER,MATCH(B102,PT_DIFFERENTIATION_TER_ID,0))</f>
        <v>1.3</v>
      </c>
      <c r="T102" s="7315" t="s">
        <v>490</v>
      </c>
      <c r="U102" s="6783"/>
      <c r="V102" s="6593"/>
      <c r="W102" s="6594"/>
      <c r="X102" s="6594"/>
      <c r="Y102" s="6594"/>
      <c r="Z102" s="6594"/>
      <c r="AA102" s="6594"/>
      <c r="AB102" s="6595"/>
      <c r="AC102" s="6593" t="str">
        <f>INDEX(PT_DIFFERENTIATION_TER,MATCH(B102,PT_DIFFERENTIATION_TER_ID,0))</f>
        <v>Территория 3</v>
      </c>
      <c r="AD102" s="6594"/>
      <c r="AE102" s="6594"/>
      <c r="AF102" s="6594"/>
      <c r="AG102" s="6594"/>
      <c r="AH102" s="6594"/>
      <c r="AI102" s="6594"/>
      <c r="AJ102" s="6593"/>
      <c r="AK102" s="6594"/>
      <c r="AL102" s="6594"/>
      <c r="AM102" s="6594"/>
      <c r="AN102" s="6594"/>
      <c r="AO102" s="6594"/>
      <c r="AP102" s="6595"/>
      <c r="AQ102" s="6593"/>
      <c r="AR102" s="6594"/>
      <c r="AS102" s="6594"/>
      <c r="AT102" s="6594"/>
      <c r="AU102" s="6594"/>
      <c r="AV102" s="6594"/>
      <c r="AW102" s="6595"/>
      <c r="AX102" s="6593"/>
      <c r="AY102" s="6594"/>
      <c r="AZ102" s="6594"/>
      <c r="BA102" s="6594"/>
      <c r="BB102" s="6594"/>
      <c r="BC102" s="6594"/>
      <c r="BD102" s="6595"/>
      <c r="BE102" s="6595"/>
      <c r="BF102" s="6784" t="s">
        <v>491</v>
      </c>
      <c r="BG102" s="6687"/>
      <c r="BH102" s="6785"/>
      <c r="BI102" s="6785" t="str">
        <f>IF(T102="","",T102)</f>
        <v>Территория действия тарифа</v>
      </c>
      <c r="BJ102" s="6785"/>
      <c r="BK102" s="6785"/>
      <c r="BL102" s="6591">
        <v>0</v>
      </c>
    </row>
    <row s="7579" customFormat="1" customHeight="1" ht="23.25">
      <c r="A103" s="6773"/>
      <c r="B103" s="6773"/>
      <c r="C103" s="6773" t="s">
        <v>322</v>
      </c>
      <c r="D103" s="6773"/>
      <c r="E103" s="6774"/>
      <c r="F103" s="6774" t="s">
        <v>103</v>
      </c>
      <c r="G103" s="6775">
        <v>1</v>
      </c>
      <c r="H103" s="6773"/>
      <c r="I103" s="6773"/>
      <c r="J103" s="6773"/>
      <c r="K103" s="6773"/>
      <c r="L103" s="6776"/>
      <c r="M103" s="6777"/>
      <c r="N103" s="6777"/>
      <c r="O103" s="6777"/>
      <c r="P103" s="6778"/>
      <c r="Q103" s="6779"/>
      <c r="R103" s="6780"/>
      <c r="S103" s="6781" t="str">
        <f>INDEX(PT_DIFFERENTIATION_NUM_CS,MATCH(C103,PT_DIFFERENTIATION_CS_ID,0))</f>
        <v>1.3.1</v>
      </c>
      <c r="T103" s="6782" t="s">
        <v>606</v>
      </c>
      <c r="U103" s="6783"/>
      <c r="V103" s="6593"/>
      <c r="W103" s="6594"/>
      <c r="X103" s="6594"/>
      <c r="Y103" s="6594"/>
      <c r="Z103" s="6594"/>
      <c r="AA103" s="6594"/>
      <c r="AB103" s="6595"/>
      <c r="AC103" s="6593" t="str">
        <f>INDEX(PT_DIFFERENTIATION_CS,MATCH(C103,PT_DIFFERENTIATION_CS_ID,0))</f>
        <v>Кавалеровский МО</v>
      </c>
      <c r="AD103" s="6594"/>
      <c r="AE103" s="6594"/>
      <c r="AF103" s="6594"/>
      <c r="AG103" s="6594"/>
      <c r="AH103" s="6594"/>
      <c r="AI103" s="6594"/>
      <c r="AJ103" s="6593"/>
      <c r="AK103" s="6594"/>
      <c r="AL103" s="6594"/>
      <c r="AM103" s="6594"/>
      <c r="AN103" s="6594"/>
      <c r="AO103" s="6594"/>
      <c r="AP103" s="6595"/>
      <c r="AQ103" s="6593"/>
      <c r="AR103" s="6594"/>
      <c r="AS103" s="6594"/>
      <c r="AT103" s="6594"/>
      <c r="AU103" s="6594"/>
      <c r="AV103" s="6594"/>
      <c r="AW103" s="6595"/>
      <c r="AX103" s="6593"/>
      <c r="AY103" s="6594"/>
      <c r="AZ103" s="6594"/>
      <c r="BA103" s="6594"/>
      <c r="BB103" s="6594"/>
      <c r="BC103" s="6594"/>
      <c r="BD103" s="6595"/>
      <c r="BE103" s="6595"/>
      <c r="BF103" s="6784" t="s">
        <v>607</v>
      </c>
      <c r="BG103" s="6687"/>
      <c r="BH103" s="6785"/>
      <c r="BI103" s="6785" t="str">
        <f>IF(T103="","",T103)</f>
        <v>Наименование централизованной системы водоотведения</v>
      </c>
      <c r="BJ103" s="6785"/>
      <c r="BK103" s="6785"/>
      <c r="BL103" s="6591">
        <v>0</v>
      </c>
    </row>
    <row s="7580" customFormat="1" customHeight="1" ht="23.25">
      <c r="A104" s="6773"/>
      <c r="B104" s="6773"/>
      <c r="C104" s="6773"/>
      <c r="D104" s="6773"/>
      <c r="E104" s="6774"/>
      <c r="F104" s="6774" t="s">
        <v>103</v>
      </c>
      <c r="G104" s="6774"/>
      <c r="H104" s="6774"/>
      <c r="I104" s="6787" t="str">
        <f>S103&amp;".1"</f>
        <v>1.3.1.1</v>
      </c>
      <c r="J104" s="6773"/>
      <c r="K104" s="6773"/>
      <c r="L104" s="6776"/>
      <c r="M104" s="6788"/>
      <c r="N104" s="6788"/>
      <c r="O104" s="6788"/>
      <c r="P104" s="6789">
        <v>1</v>
      </c>
      <c r="Q104" s="6789"/>
      <c r="R104" s="6790"/>
      <c r="S104" s="6781" t="str">
        <f>$I104</f>
        <v>1.3.1.1</v>
      </c>
      <c r="T104" s="6791" t="s">
        <v>573</v>
      </c>
      <c r="U104" s="6783"/>
      <c r="V104" s="6598"/>
      <c r="W104" s="6599"/>
      <c r="X104" s="6599"/>
      <c r="Y104" s="6599"/>
      <c r="Z104" s="6599"/>
      <c r="AA104" s="6599"/>
      <c r="AB104" s="6600"/>
      <c r="AC104" s="6792"/>
      <c r="AD104" s="6793"/>
      <c r="AE104" s="6793"/>
      <c r="AF104" s="6793"/>
      <c r="AG104" s="6793"/>
      <c r="AH104" s="6793"/>
      <c r="AI104" s="6793"/>
      <c r="AJ104" s="6598"/>
      <c r="AK104" s="6599"/>
      <c r="AL104" s="6599"/>
      <c r="AM104" s="6599"/>
      <c r="AN104" s="6599"/>
      <c r="AO104" s="6599"/>
      <c r="AP104" s="6600"/>
      <c r="AQ104" s="6598"/>
      <c r="AR104" s="6599"/>
      <c r="AS104" s="6599"/>
      <c r="AT104" s="6599"/>
      <c r="AU104" s="6599"/>
      <c r="AV104" s="6599"/>
      <c r="AW104" s="6600"/>
      <c r="AX104" s="6598"/>
      <c r="AY104" s="6599"/>
      <c r="AZ104" s="6599"/>
      <c r="BA104" s="6599"/>
      <c r="BB104" s="6599"/>
      <c r="BC104" s="6599"/>
      <c r="BD104" s="6600"/>
      <c r="BE104" s="6794"/>
      <c r="BF104" s="6784" t="s">
        <v>574</v>
      </c>
      <c r="BG104" s="6687"/>
      <c r="BH104" s="6785"/>
      <c r="BI104" s="6785" t="str">
        <f>IF(T104="","",T104)</f>
        <v>Наименование признака дифференциации</v>
      </c>
      <c r="BJ104" s="6785"/>
      <c r="BK104" s="6785"/>
      <c r="BL104" s="6591">
        <v>0</v>
      </c>
    </row>
    <row s="7581" customFormat="1" customHeight="1" ht="23.25">
      <c r="A105" s="6773"/>
      <c r="B105" s="6773"/>
      <c r="C105" s="6773"/>
      <c r="D105" s="6773"/>
      <c r="E105" s="6774"/>
      <c r="F105" s="6774" t="s">
        <v>103</v>
      </c>
      <c r="G105" s="6774"/>
      <c r="H105" s="6774"/>
      <c r="I105" s="6796"/>
      <c r="J105" s="6787" t="str">
        <f>I104&amp;".1"</f>
        <v>1.3.1.1.1</v>
      </c>
      <c r="K105" s="6773"/>
      <c r="L105" s="6776" t="s">
        <v>499</v>
      </c>
      <c r="M105" s="6788"/>
      <c r="N105" s="6788"/>
      <c r="O105" s="6788"/>
      <c r="P105" s="6789"/>
      <c r="Q105" s="6789">
        <v>1</v>
      </c>
      <c r="R105" s="6797"/>
      <c r="S105" s="6781" t="str">
        <f>$J105</f>
        <v>1.3.1.1.1</v>
      </c>
      <c r="T105" s="6798" t="s">
        <v>500</v>
      </c>
      <c r="U105" s="6783"/>
      <c r="V105" s="6601"/>
      <c r="W105" s="6602"/>
      <c r="X105" s="6602"/>
      <c r="Y105" s="6602"/>
      <c r="Z105" s="6602"/>
      <c r="AA105" s="6602"/>
      <c r="AB105" s="6603"/>
      <c r="AC105" s="6601" t="s">
        <v>611</v>
      </c>
      <c r="AD105" s="6602"/>
      <c r="AE105" s="6602"/>
      <c r="AF105" s="6602"/>
      <c r="AG105" s="6602"/>
      <c r="AH105" s="6602"/>
      <c r="AI105" s="6602"/>
      <c r="AJ105" s="6601"/>
      <c r="AK105" s="6602"/>
      <c r="AL105" s="6602"/>
      <c r="AM105" s="6602"/>
      <c r="AN105" s="6602"/>
      <c r="AO105" s="6602"/>
      <c r="AP105" s="6603"/>
      <c r="AQ105" s="6601"/>
      <c r="AR105" s="6602"/>
      <c r="AS105" s="6602"/>
      <c r="AT105" s="6602"/>
      <c r="AU105" s="6602"/>
      <c r="AV105" s="6602"/>
      <c r="AW105" s="6603"/>
      <c r="AX105" s="6601"/>
      <c r="AY105" s="6602"/>
      <c r="AZ105" s="6602"/>
      <c r="BA105" s="6602"/>
      <c r="BB105" s="6602"/>
      <c r="BC105" s="6602"/>
      <c r="BD105" s="6603"/>
      <c r="BE105" s="6603"/>
      <c r="BF105" s="6799" t="s">
        <v>575</v>
      </c>
      <c r="BG105" s="6687"/>
      <c r="BH105" s="6785"/>
      <c r="BI105" s="6785" t="str">
        <f>IF(T105="","",T105)</f>
        <v>Группа потребителей</v>
      </c>
      <c r="BJ105" s="6785"/>
      <c r="BK105" s="6785"/>
      <c r="BL105" s="6591">
        <v>0</v>
      </c>
    </row>
    <row s="7582" customFormat="1" customHeight="1" ht="23.25">
      <c r="A106" s="6773"/>
      <c r="B106" s="6773"/>
      <c r="C106" s="6773"/>
      <c r="D106" s="6773"/>
      <c r="E106" s="6774"/>
      <c r="F106" s="6774" t="s">
        <v>103</v>
      </c>
      <c r="G106" s="6774"/>
      <c r="H106" s="6774"/>
      <c r="I106" s="6796"/>
      <c r="J106" s="6796"/>
      <c r="K106" s="6787" t="str">
        <f>J105&amp;".1"</f>
        <v>1.3.1.1.1.1</v>
      </c>
      <c r="L106" s="6776"/>
      <c r="M106" s="6788"/>
      <c r="N106" s="6788"/>
      <c r="O106" s="6788"/>
      <c r="P106" s="6789"/>
      <c r="Q106" s="6789"/>
      <c r="R106" s="6797">
        <v>1</v>
      </c>
      <c r="S106" s="6781" t="str">
        <f>$K106</f>
        <v>1.3.1.1.1.1</v>
      </c>
      <c r="T106" s="6801" t="s">
        <v>569</v>
      </c>
      <c r="U106" s="6783"/>
      <c r="V106" s="6604"/>
      <c r="W106" s="6604"/>
      <c r="X106" s="6605"/>
      <c r="Y106" s="6606"/>
      <c r="Z106" s="6607" t="s">
        <v>66</v>
      </c>
      <c r="AA106" s="6606"/>
      <c r="AB106" s="6607" t="s">
        <v>66</v>
      </c>
      <c r="AC106" s="6604">
        <v>46.38</v>
      </c>
      <c r="AD106" s="6604"/>
      <c r="AE106" s="6605"/>
      <c r="AF106" s="6606">
        <v>45658.613703703704</v>
      </c>
      <c r="AG106" s="6607" t="s">
        <v>66</v>
      </c>
      <c r="AH106" s="6707">
        <v>46022.6137962963</v>
      </c>
      <c r="AI106" s="6607" t="s">
        <v>66</v>
      </c>
      <c r="AJ106" s="6604">
        <v>43.15</v>
      </c>
      <c r="AK106" s="6604"/>
      <c r="AL106" s="6605"/>
      <c r="AM106" s="6606">
        <v>46023.63821759259</v>
      </c>
      <c r="AN106" s="6607" t="s">
        <v>66</v>
      </c>
      <c r="AO106" s="6606">
        <v>46387.63831018518</v>
      </c>
      <c r="AP106" s="6607" t="s">
        <v>66</v>
      </c>
      <c r="AQ106" s="6604">
        <v>44.4</v>
      </c>
      <c r="AR106" s="6604"/>
      <c r="AS106" s="6605"/>
      <c r="AT106" s="6606">
        <v>46388.638449074075</v>
      </c>
      <c r="AU106" s="6607" t="s">
        <v>66</v>
      </c>
      <c r="AV106" s="6606">
        <v>46752.63856481481</v>
      </c>
      <c r="AW106" s="6607" t="s">
        <v>66</v>
      </c>
      <c r="AX106" s="6604">
        <v>45.7</v>
      </c>
      <c r="AY106" s="6604"/>
      <c r="AZ106" s="6605"/>
      <c r="BA106" s="6606">
        <v>46753.63872685185</v>
      </c>
      <c r="BB106" s="6607" t="s">
        <v>66</v>
      </c>
      <c r="BC106" s="6606">
        <v>47118.638877314814</v>
      </c>
      <c r="BD106" s="6607" t="s">
        <v>66</v>
      </c>
      <c r="BE106" s="6802"/>
      <c r="BF106" s="68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106" s="6687">
        <f>STRCHECKDATE(V107:BE107)</f>
      </c>
      <c r="BH106" s="6785"/>
      <c r="BI106" s="6785" t="str">
        <f>IF(T106="","",T106)</f>
        <v>без НДС</v>
      </c>
      <c r="BJ106" s="6785"/>
      <c r="BK106" s="6785"/>
      <c r="BL106" s="6591">
        <v>0</v>
      </c>
    </row>
    <row s="7583" customFormat="1" customHeight="1" ht="14.25">
      <c r="A107" s="6773"/>
      <c r="B107" s="6773"/>
      <c r="C107" s="6773"/>
      <c r="D107" s="6773"/>
      <c r="E107" s="6774"/>
      <c r="F107" s="6774" t="s">
        <v>103</v>
      </c>
      <c r="G107" s="6774"/>
      <c r="H107" s="6774"/>
      <c r="I107" s="6796"/>
      <c r="J107" s="6796"/>
      <c r="K107" s="6787"/>
      <c r="L107" s="6776"/>
      <c r="M107" s="6788"/>
      <c r="N107" s="6788"/>
      <c r="O107" s="6788"/>
      <c r="P107" s="6789"/>
      <c r="Q107" s="6789"/>
      <c r="R107" s="6797"/>
      <c r="S107" s="6805"/>
      <c r="T107" s="6783"/>
      <c r="U107" s="6783"/>
      <c r="V107" s="6609"/>
      <c r="W107" s="6609"/>
      <c r="X107" s="6610" t="str">
        <f>Y106&amp;"-"&amp;AA106</f>
        <v>-</v>
      </c>
      <c r="Y107" s="6611"/>
      <c r="Z107" s="6607"/>
      <c r="AA107" s="6611"/>
      <c r="AB107" s="6607"/>
      <c r="AC107" s="6609"/>
      <c r="AD107" s="6609"/>
      <c r="AE107" s="6610" t="str">
        <f>AF106&amp;"-"&amp;AH106</f>
        <v>45658.613703703704-46022.6137962963</v>
      </c>
      <c r="AF107" s="6611"/>
      <c r="AG107" s="6607"/>
      <c r="AH107" s="6708"/>
      <c r="AI107" s="6607"/>
      <c r="AJ107" s="6609"/>
      <c r="AK107" s="6609"/>
      <c r="AL107" s="6610" t="str">
        <f>AM106&amp;"-"&amp;AO106</f>
        <v>46023.63821759259-46387.63831018518</v>
      </c>
      <c r="AM107" s="6611"/>
      <c r="AN107" s="6607"/>
      <c r="AO107" s="6611"/>
      <c r="AP107" s="6607"/>
      <c r="AQ107" s="6609"/>
      <c r="AR107" s="6609"/>
      <c r="AS107" s="6610" t="str">
        <f>AT106&amp;"-"&amp;AV106</f>
        <v>46388.638449074075-46752.63856481481</v>
      </c>
      <c r="AT107" s="6611"/>
      <c r="AU107" s="6607"/>
      <c r="AV107" s="6611"/>
      <c r="AW107" s="6607"/>
      <c r="AX107" s="6609"/>
      <c r="AY107" s="6609"/>
      <c r="AZ107" s="6610" t="str">
        <f>BA106&amp;"-"&amp;BC106</f>
        <v>46753.63872685185-47118.638877314814</v>
      </c>
      <c r="BA107" s="6611"/>
      <c r="BB107" s="6607"/>
      <c r="BC107" s="6611"/>
      <c r="BD107" s="6607"/>
      <c r="BE107" s="6806"/>
      <c r="BF107" s="6803"/>
      <c r="BG107" s="6687"/>
      <c r="BH107" s="6785"/>
      <c r="BI107" s="6785" t="str">
        <f>IF(T107="","",T107)</f>
        <v/>
      </c>
      <c r="BJ107" s="6785"/>
      <c r="BK107" s="6785"/>
      <c r="BL107" s="6591">
        <v>0</v>
      </c>
    </row>
    <row s="7584" customFormat="1" customHeight="1" ht="21">
      <c r="A108" s="6773"/>
      <c r="B108" s="6773"/>
      <c r="C108" s="6773"/>
      <c r="D108" s="6773"/>
      <c r="E108" s="6774"/>
      <c r="F108" s="6774" t="s">
        <v>103</v>
      </c>
      <c r="G108" s="6774"/>
      <c r="H108" s="6774"/>
      <c r="I108" s="6796"/>
      <c r="J108" s="6787"/>
      <c r="K108" s="6773"/>
      <c r="L108" s="6776"/>
      <c r="M108" s="6788"/>
      <c r="N108" s="6788"/>
      <c r="O108" s="6788"/>
      <c r="P108" s="6789"/>
      <c r="Q108" s="6789"/>
      <c r="R108" s="6790"/>
      <c r="S108" s="7585"/>
      <c r="T108" s="7586" t="s">
        <v>576</v>
      </c>
      <c r="U108" s="7587"/>
      <c r="V108" s="7588"/>
      <c r="W108" s="7589"/>
      <c r="X108" s="7590"/>
      <c r="Y108" s="7591"/>
      <c r="Z108" s="7592"/>
      <c r="AA108" s="7593"/>
      <c r="AB108" s="7594"/>
      <c r="AC108" s="7595"/>
      <c r="AD108" s="7596"/>
      <c r="AE108" s="7597"/>
      <c r="AF108" s="7598"/>
      <c r="AG108" s="7599"/>
      <c r="AH108" s="7600"/>
      <c r="AI108" s="7601"/>
      <c r="AJ108" s="7602"/>
      <c r="AK108" s="7603"/>
      <c r="AL108" s="7604"/>
      <c r="AM108" s="7605"/>
      <c r="AN108" s="7606"/>
      <c r="AO108" s="7607"/>
      <c r="AP108" s="7608"/>
      <c r="AQ108" s="7609"/>
      <c r="AR108" s="7610"/>
      <c r="AS108" s="7611"/>
      <c r="AT108" s="7612"/>
      <c r="AU108" s="7613"/>
      <c r="AV108" s="7614"/>
      <c r="AW108" s="7615"/>
      <c r="AX108" s="7616"/>
      <c r="AY108" s="7617"/>
      <c r="AZ108" s="7618"/>
      <c r="BA108" s="7619"/>
      <c r="BB108" s="7620"/>
      <c r="BC108" s="7621"/>
      <c r="BD108" s="7622"/>
      <c r="BE108" s="7623"/>
      <c r="BF108" s="6784" t="s">
        <v>577</v>
      </c>
      <c r="BG108" s="6687"/>
      <c r="BH108" s="6785"/>
      <c r="BI108" s="6785" t="str">
        <f>IF(T108="","",T108)</f>
        <v>Добавить значение признака дифференциации</v>
      </c>
      <c r="BJ108" s="6785"/>
      <c r="BK108" s="6785"/>
      <c r="BL108" s="6591">
        <v>0</v>
      </c>
    </row>
    <row s="7624" customFormat="1" customHeight="1" ht="21">
      <c r="A109" s="6773"/>
      <c r="B109" s="6773"/>
      <c r="C109" s="6773"/>
      <c r="D109" s="6773"/>
      <c r="E109" s="6774"/>
      <c r="F109" s="6774" t="s">
        <v>103</v>
      </c>
      <c r="G109" s="6774"/>
      <c r="H109" s="6774"/>
      <c r="I109" s="6787"/>
      <c r="J109" s="6773"/>
      <c r="K109" s="6773"/>
      <c r="L109" s="6776"/>
      <c r="M109" s="6788"/>
      <c r="N109" s="6788"/>
      <c r="O109" s="6788"/>
      <c r="P109" s="6789"/>
      <c r="Q109" s="6789"/>
      <c r="R109" s="6790"/>
      <c r="S109" s="7625"/>
      <c r="T109" s="7626" t="s">
        <v>505</v>
      </c>
      <c r="U109" s="7627"/>
      <c r="V109" s="7628"/>
      <c r="W109" s="7629"/>
      <c r="X109" s="7630"/>
      <c r="Y109" s="7631"/>
      <c r="Z109" s="7632"/>
      <c r="AA109" s="7633"/>
      <c r="AB109" s="7634"/>
      <c r="AC109" s="7635"/>
      <c r="AD109" s="7636"/>
      <c r="AE109" s="7637"/>
      <c r="AF109" s="7638"/>
      <c r="AG109" s="7639"/>
      <c r="AH109" s="7640"/>
      <c r="AI109" s="7641"/>
      <c r="AJ109" s="7642"/>
      <c r="AK109" s="7643"/>
      <c r="AL109" s="7644"/>
      <c r="AM109" s="7645"/>
      <c r="AN109" s="7646"/>
      <c r="AO109" s="7647"/>
      <c r="AP109" s="7648"/>
      <c r="AQ109" s="7649"/>
      <c r="AR109" s="7650"/>
      <c r="AS109" s="7651"/>
      <c r="AT109" s="7652"/>
      <c r="AU109" s="7653"/>
      <c r="AV109" s="7654"/>
      <c r="AW109" s="7655"/>
      <c r="AX109" s="7656"/>
      <c r="AY109" s="7657"/>
      <c r="AZ109" s="7658"/>
      <c r="BA109" s="7659"/>
      <c r="BB109" s="7660"/>
      <c r="BC109" s="7661"/>
      <c r="BD109" s="7662"/>
      <c r="BE109" s="7663"/>
      <c r="BF109" s="7664"/>
      <c r="BG109" s="6687"/>
      <c r="BH109" s="6785"/>
      <c r="BI109" s="6785" t="str">
        <f>IF(T109="","",T109)</f>
        <v>Добавить группу потребителей</v>
      </c>
      <c r="BJ109" s="6785"/>
      <c r="BK109" s="6785"/>
      <c r="BL109" s="6591">
        <v>0</v>
      </c>
    </row>
    <row s="7665" customFormat="1" customHeight="1" ht="21">
      <c r="A110" s="6773"/>
      <c r="B110" s="6773"/>
      <c r="C110" s="6773"/>
      <c r="D110" s="6773"/>
      <c r="E110" s="6774"/>
      <c r="F110" s="6774" t="s">
        <v>103</v>
      </c>
      <c r="G110" s="6774"/>
      <c r="H110" s="6775"/>
      <c r="I110" s="6773"/>
      <c r="J110" s="6773"/>
      <c r="K110" s="6773"/>
      <c r="L110" s="6776"/>
      <c r="M110" s="6777"/>
      <c r="N110" s="6777"/>
      <c r="O110" s="6678"/>
      <c r="P110" s="6889"/>
      <c r="Q110" s="6890"/>
      <c r="R110" s="6891"/>
      <c r="S110" s="7666"/>
      <c r="T110" s="7667" t="s">
        <v>578</v>
      </c>
      <c r="U110" s="7668"/>
      <c r="V110" s="7669"/>
      <c r="W110" s="7670"/>
      <c r="X110" s="7671"/>
      <c r="Y110" s="7672"/>
      <c r="Z110" s="7673"/>
      <c r="AA110" s="7674"/>
      <c r="AB110" s="7675"/>
      <c r="AC110" s="7676"/>
      <c r="AD110" s="7677"/>
      <c r="AE110" s="7678"/>
      <c r="AF110" s="7679"/>
      <c r="AG110" s="7680"/>
      <c r="AH110" s="7681"/>
      <c r="AI110" s="7682"/>
      <c r="AJ110" s="7683"/>
      <c r="AK110" s="7684"/>
      <c r="AL110" s="7685"/>
      <c r="AM110" s="7686"/>
      <c r="AN110" s="7687"/>
      <c r="AO110" s="7688"/>
      <c r="AP110" s="7689"/>
      <c r="AQ110" s="7690"/>
      <c r="AR110" s="7691"/>
      <c r="AS110" s="7692"/>
      <c r="AT110" s="7693"/>
      <c r="AU110" s="7694"/>
      <c r="AV110" s="7695"/>
      <c r="AW110" s="7696"/>
      <c r="AX110" s="7697"/>
      <c r="AY110" s="7698"/>
      <c r="AZ110" s="7699"/>
      <c r="BA110" s="7700"/>
      <c r="BB110" s="7701"/>
      <c r="BC110" s="7702"/>
      <c r="BD110" s="7703"/>
      <c r="BE110" s="7704"/>
      <c r="BF110" s="7705"/>
      <c r="BG110" s="6687"/>
      <c r="BH110" s="6785"/>
      <c r="BI110" s="6785" t="str">
        <f>IF(T110="","",T110)</f>
        <v>Добавить наименование признака дифференциации</v>
      </c>
      <c r="BJ110" s="6785"/>
      <c r="BK110" s="6785"/>
      <c r="BL110" s="6591">
        <v>0</v>
      </c>
    </row>
    <row s="7706" customFormat="1" customHeight="1" ht="14.25">
      <c r="A111" s="7571"/>
      <c r="B111" s="7571"/>
      <c r="C111" s="7571"/>
      <c r="D111" s="7571"/>
      <c r="E111" s="6774"/>
      <c r="F111" s="6775" t="s">
        <v>103</v>
      </c>
      <c r="G111" s="7571"/>
      <c r="H111" s="7571"/>
      <c r="I111" s="7571"/>
      <c r="J111" s="7571"/>
      <c r="K111" s="7571"/>
      <c r="L111" s="7572"/>
      <c r="M111" s="7573"/>
      <c r="N111" s="7573"/>
      <c r="O111" s="6687"/>
      <c r="P111" s="7574"/>
      <c r="Q111" s="7575"/>
      <c r="R111" s="7574"/>
      <c r="S111" s="7576"/>
      <c r="T111" s="7577" t="s">
        <v>312</v>
      </c>
      <c r="U111" s="6676"/>
      <c r="V111" s="6676"/>
      <c r="W111" s="6676"/>
      <c r="X111" s="6676"/>
      <c r="Y111" s="6676"/>
      <c r="Z111" s="6676"/>
      <c r="AA111" s="6676"/>
      <c r="AB111" s="6676"/>
      <c r="AC111" s="6676"/>
      <c r="AD111" s="6676"/>
      <c r="AE111" s="6676"/>
      <c r="AF111" s="6676"/>
      <c r="AG111" s="6676"/>
      <c r="AH111" s="6676"/>
      <c r="AI111" s="6676"/>
      <c r="AJ111" s="6676"/>
      <c r="AK111" s="6676"/>
      <c r="AL111" s="6676"/>
      <c r="AM111" s="6676"/>
      <c r="AN111" s="6676"/>
      <c r="AO111" s="6676"/>
      <c r="AP111" s="6676"/>
      <c r="AQ111" s="6676"/>
      <c r="AR111" s="6676"/>
      <c r="AS111" s="6676"/>
      <c r="AT111" s="6676"/>
      <c r="AU111" s="6676"/>
      <c r="AV111" s="6676"/>
      <c r="AW111" s="6676"/>
      <c r="AX111" s="6676"/>
      <c r="AY111" s="6676"/>
      <c r="AZ111" s="6676"/>
      <c r="BA111" s="6676"/>
      <c r="BB111" s="6676"/>
      <c r="BC111" s="6676"/>
      <c r="BD111" s="6676"/>
      <c r="BE111" s="6676"/>
      <c r="BF111" s="6676"/>
      <c r="BG111" s="6687"/>
      <c r="BH111" s="6785"/>
      <c r="BI111" s="6785" t="str">
        <f>IF(T111="","",T111)</f>
        <v>Добавить централизованную систему для дифференциации</v>
      </c>
      <c r="BJ111" s="6785"/>
      <c r="BK111" s="6785"/>
      <c r="BL111" s="6687">
        <v>0</v>
      </c>
    </row>
    <row s="7707" customFormat="1" customHeight="1" ht="23.25">
      <c r="A112" s="6773"/>
      <c r="B112" s="6773" t="s">
        <v>325</v>
      </c>
      <c r="C112" s="6773"/>
      <c r="D112" s="6773"/>
      <c r="E112" s="6774"/>
      <c r="F112" s="6775" t="s">
        <v>91</v>
      </c>
      <c r="G112" s="6773"/>
      <c r="H112" s="6773"/>
      <c r="I112" s="6773"/>
      <c r="J112" s="6773"/>
      <c r="K112" s="6773"/>
      <c r="L112" s="6776"/>
      <c r="M112" s="6777"/>
      <c r="N112" s="6777"/>
      <c r="O112" s="6777"/>
      <c r="P112" s="7314"/>
      <c r="Q112" s="6779"/>
      <c r="R112" s="6780"/>
      <c r="S112" s="6781" t="str">
        <f>INDEX(PT_DIFFERENTIATION_NUM_TER,MATCH(B112,PT_DIFFERENTIATION_TER_ID,0))</f>
        <v>1.4</v>
      </c>
      <c r="T112" s="7315" t="s">
        <v>490</v>
      </c>
      <c r="U112" s="6783"/>
      <c r="V112" s="6593"/>
      <c r="W112" s="6594"/>
      <c r="X112" s="6594"/>
      <c r="Y112" s="6594"/>
      <c r="Z112" s="6594"/>
      <c r="AA112" s="6594"/>
      <c r="AB112" s="6595"/>
      <c r="AC112" s="6593" t="str">
        <f>INDEX(PT_DIFFERENTIATION_TER,MATCH(B112,PT_DIFFERENTIATION_TER_ID,0))</f>
        <v>Территория 4</v>
      </c>
      <c r="AD112" s="6594"/>
      <c r="AE112" s="6594"/>
      <c r="AF112" s="6594"/>
      <c r="AG112" s="6594"/>
      <c r="AH112" s="6594"/>
      <c r="AI112" s="6594"/>
      <c r="AJ112" s="6593"/>
      <c r="AK112" s="6594"/>
      <c r="AL112" s="6594"/>
      <c r="AM112" s="6594"/>
      <c r="AN112" s="6594"/>
      <c r="AO112" s="6594"/>
      <c r="AP112" s="6595"/>
      <c r="AQ112" s="6593"/>
      <c r="AR112" s="6594"/>
      <c r="AS112" s="6594"/>
      <c r="AT112" s="6594"/>
      <c r="AU112" s="6594"/>
      <c r="AV112" s="6594"/>
      <c r="AW112" s="6595"/>
      <c r="AX112" s="6593"/>
      <c r="AY112" s="6594"/>
      <c r="AZ112" s="6594"/>
      <c r="BA112" s="6594"/>
      <c r="BB112" s="6594"/>
      <c r="BC112" s="6594"/>
      <c r="BD112" s="6595"/>
      <c r="BE112" s="6595"/>
      <c r="BF112" s="6784" t="s">
        <v>491</v>
      </c>
      <c r="BG112" s="6687"/>
      <c r="BH112" s="6785"/>
      <c r="BI112" s="6785" t="str">
        <f>IF(T112="","",T112)</f>
        <v>Территория действия тарифа</v>
      </c>
      <c r="BJ112" s="6785"/>
      <c r="BK112" s="6785"/>
      <c r="BL112" s="6591">
        <v>0</v>
      </c>
    </row>
    <row s="7708" customFormat="1" customHeight="1" ht="23.25">
      <c r="A113" s="6773"/>
      <c r="B113" s="6773"/>
      <c r="C113" s="6773" t="s">
        <v>326</v>
      </c>
      <c r="D113" s="6773"/>
      <c r="E113" s="6774"/>
      <c r="F113" s="6774" t="s">
        <v>90</v>
      </c>
      <c r="G113" s="6775">
        <v>1</v>
      </c>
      <c r="H113" s="6773"/>
      <c r="I113" s="6773"/>
      <c r="J113" s="6773"/>
      <c r="K113" s="6773"/>
      <c r="L113" s="6776"/>
      <c r="M113" s="6777"/>
      <c r="N113" s="6777"/>
      <c r="O113" s="6777"/>
      <c r="P113" s="6778"/>
      <c r="Q113" s="6779"/>
      <c r="R113" s="6780"/>
      <c r="S113" s="6781" t="str">
        <f>INDEX(PT_DIFFERENTIATION_NUM_CS,MATCH(C113,PT_DIFFERENTIATION_CS_ID,0))</f>
        <v>1.4.1</v>
      </c>
      <c r="T113" s="6782" t="s">
        <v>606</v>
      </c>
      <c r="U113" s="6783"/>
      <c r="V113" s="6593"/>
      <c r="W113" s="6594"/>
      <c r="X113" s="6594"/>
      <c r="Y113" s="6594"/>
      <c r="Z113" s="6594"/>
      <c r="AA113" s="6594"/>
      <c r="AB113" s="6595"/>
      <c r="AC113" s="6593" t="str">
        <f>INDEX(PT_DIFFERENTIATION_CS,MATCH(C113,PT_DIFFERENTIATION_CS_ID,0))</f>
        <v>Дальнегорский ГО</v>
      </c>
      <c r="AD113" s="6594"/>
      <c r="AE113" s="6594"/>
      <c r="AF113" s="6594"/>
      <c r="AG113" s="6594"/>
      <c r="AH113" s="6594"/>
      <c r="AI113" s="6594"/>
      <c r="AJ113" s="6593"/>
      <c r="AK113" s="6594"/>
      <c r="AL113" s="6594"/>
      <c r="AM113" s="6594"/>
      <c r="AN113" s="6594"/>
      <c r="AO113" s="6594"/>
      <c r="AP113" s="6595"/>
      <c r="AQ113" s="6593"/>
      <c r="AR113" s="6594"/>
      <c r="AS113" s="6594"/>
      <c r="AT113" s="6594"/>
      <c r="AU113" s="6594"/>
      <c r="AV113" s="6594"/>
      <c r="AW113" s="6595"/>
      <c r="AX113" s="6593"/>
      <c r="AY113" s="6594"/>
      <c r="AZ113" s="6594"/>
      <c r="BA113" s="6594"/>
      <c r="BB113" s="6594"/>
      <c r="BC113" s="6594"/>
      <c r="BD113" s="6595"/>
      <c r="BE113" s="6595"/>
      <c r="BF113" s="6784" t="s">
        <v>607</v>
      </c>
      <c r="BG113" s="6687"/>
      <c r="BH113" s="6785"/>
      <c r="BI113" s="6785" t="str">
        <f>IF(T113="","",T113)</f>
        <v>Наименование централизованной системы водоотведения</v>
      </c>
      <c r="BJ113" s="6785"/>
      <c r="BK113" s="6785"/>
      <c r="BL113" s="6591">
        <v>0</v>
      </c>
    </row>
    <row s="7709" customFormat="1" customHeight="1" ht="23.25">
      <c r="A114" s="6773"/>
      <c r="B114" s="6773"/>
      <c r="C114" s="6773"/>
      <c r="D114" s="6773"/>
      <c r="E114" s="6774"/>
      <c r="F114" s="6774" t="s">
        <v>90</v>
      </c>
      <c r="G114" s="6774"/>
      <c r="H114" s="6774"/>
      <c r="I114" s="6787" t="str">
        <f>S113&amp;".1"</f>
        <v>1.4.1.1</v>
      </c>
      <c r="J114" s="6773"/>
      <c r="K114" s="6773"/>
      <c r="L114" s="6776"/>
      <c r="M114" s="6788"/>
      <c r="N114" s="6788"/>
      <c r="O114" s="6788"/>
      <c r="P114" s="6789">
        <v>1</v>
      </c>
      <c r="Q114" s="6789"/>
      <c r="R114" s="6790"/>
      <c r="S114" s="6781" t="str">
        <f>$I114</f>
        <v>1.4.1.1</v>
      </c>
      <c r="T114" s="6791" t="s">
        <v>573</v>
      </c>
      <c r="U114" s="6783"/>
      <c r="V114" s="6598"/>
      <c r="W114" s="6599"/>
      <c r="X114" s="6599"/>
      <c r="Y114" s="6599"/>
      <c r="Z114" s="6599"/>
      <c r="AA114" s="6599"/>
      <c r="AB114" s="6600"/>
      <c r="AC114" s="6792"/>
      <c r="AD114" s="6793"/>
      <c r="AE114" s="6793"/>
      <c r="AF114" s="6793"/>
      <c r="AG114" s="6793"/>
      <c r="AH114" s="6793"/>
      <c r="AI114" s="6793"/>
      <c r="AJ114" s="6598"/>
      <c r="AK114" s="6599"/>
      <c r="AL114" s="6599"/>
      <c r="AM114" s="6599"/>
      <c r="AN114" s="6599"/>
      <c r="AO114" s="6599"/>
      <c r="AP114" s="6600"/>
      <c r="AQ114" s="6598"/>
      <c r="AR114" s="6599"/>
      <c r="AS114" s="6599"/>
      <c r="AT114" s="6599"/>
      <c r="AU114" s="6599"/>
      <c r="AV114" s="6599"/>
      <c r="AW114" s="6600"/>
      <c r="AX114" s="6598"/>
      <c r="AY114" s="6599"/>
      <c r="AZ114" s="6599"/>
      <c r="BA114" s="6599"/>
      <c r="BB114" s="6599"/>
      <c r="BC114" s="6599"/>
      <c r="BD114" s="6600"/>
      <c r="BE114" s="6794"/>
      <c r="BF114" s="6784" t="s">
        <v>574</v>
      </c>
      <c r="BG114" s="6687"/>
      <c r="BH114" s="6785"/>
      <c r="BI114" s="6785" t="str">
        <f>IF(T114="","",T114)</f>
        <v>Наименование признака дифференциации</v>
      </c>
      <c r="BJ114" s="6785"/>
      <c r="BK114" s="6785"/>
      <c r="BL114" s="6591">
        <v>0</v>
      </c>
    </row>
    <row s="7710" customFormat="1" customHeight="1" ht="23.25">
      <c r="A115" s="6773"/>
      <c r="B115" s="6773"/>
      <c r="C115" s="6773"/>
      <c r="D115" s="6773"/>
      <c r="E115" s="6774"/>
      <c r="F115" s="6774" t="s">
        <v>90</v>
      </c>
      <c r="G115" s="6774"/>
      <c r="H115" s="6774"/>
      <c r="I115" s="6796"/>
      <c r="J115" s="6787" t="str">
        <f>I114&amp;".1"</f>
        <v>1.4.1.1.1</v>
      </c>
      <c r="K115" s="6773"/>
      <c r="L115" s="6776" t="s">
        <v>499</v>
      </c>
      <c r="M115" s="6788"/>
      <c r="N115" s="6788"/>
      <c r="O115" s="6788"/>
      <c r="P115" s="6789"/>
      <c r="Q115" s="6789">
        <v>1</v>
      </c>
      <c r="R115" s="6797"/>
      <c r="S115" s="6781" t="str">
        <f>$J115</f>
        <v>1.4.1.1.1</v>
      </c>
      <c r="T115" s="6798" t="s">
        <v>500</v>
      </c>
      <c r="U115" s="6783"/>
      <c r="V115" s="6601"/>
      <c r="W115" s="6602"/>
      <c r="X115" s="6602"/>
      <c r="Y115" s="6602"/>
      <c r="Z115" s="6602"/>
      <c r="AA115" s="6602"/>
      <c r="AB115" s="6603"/>
      <c r="AC115" s="6601" t="s">
        <v>611</v>
      </c>
      <c r="AD115" s="6602"/>
      <c r="AE115" s="6602"/>
      <c r="AF115" s="6602"/>
      <c r="AG115" s="6602"/>
      <c r="AH115" s="6602"/>
      <c r="AI115" s="6602"/>
      <c r="AJ115" s="6601"/>
      <c r="AK115" s="6602"/>
      <c r="AL115" s="6602"/>
      <c r="AM115" s="6602"/>
      <c r="AN115" s="6602"/>
      <c r="AO115" s="6602"/>
      <c r="AP115" s="6603"/>
      <c r="AQ115" s="6601"/>
      <c r="AR115" s="6602"/>
      <c r="AS115" s="6602"/>
      <c r="AT115" s="6602"/>
      <c r="AU115" s="6602"/>
      <c r="AV115" s="6602"/>
      <c r="AW115" s="6603"/>
      <c r="AX115" s="6601"/>
      <c r="AY115" s="6602"/>
      <c r="AZ115" s="6602"/>
      <c r="BA115" s="6602"/>
      <c r="BB115" s="6602"/>
      <c r="BC115" s="6602"/>
      <c r="BD115" s="6603"/>
      <c r="BE115" s="6603"/>
      <c r="BF115" s="6799" t="s">
        <v>575</v>
      </c>
      <c r="BG115" s="6687"/>
      <c r="BH115" s="6785"/>
      <c r="BI115" s="6785" t="str">
        <f>IF(T115="","",T115)</f>
        <v>Группа потребителей</v>
      </c>
      <c r="BJ115" s="6785"/>
      <c r="BK115" s="6785"/>
      <c r="BL115" s="6591">
        <v>0</v>
      </c>
    </row>
    <row s="7711" customFormat="1" customHeight="1" ht="23.25">
      <c r="A116" s="6773"/>
      <c r="B116" s="6773"/>
      <c r="C116" s="6773"/>
      <c r="D116" s="6773"/>
      <c r="E116" s="6774"/>
      <c r="F116" s="6774" t="s">
        <v>90</v>
      </c>
      <c r="G116" s="6774"/>
      <c r="H116" s="6774"/>
      <c r="I116" s="6796"/>
      <c r="J116" s="6796"/>
      <c r="K116" s="6787" t="str">
        <f>J115&amp;".1"</f>
        <v>1.4.1.1.1.1</v>
      </c>
      <c r="L116" s="6776"/>
      <c r="M116" s="6788"/>
      <c r="N116" s="6788"/>
      <c r="O116" s="6788"/>
      <c r="P116" s="6789"/>
      <c r="Q116" s="6789"/>
      <c r="R116" s="6797">
        <v>1</v>
      </c>
      <c r="S116" s="6781" t="str">
        <f>$K116</f>
        <v>1.4.1.1.1.1</v>
      </c>
      <c r="T116" s="6801" t="s">
        <v>569</v>
      </c>
      <c r="U116" s="6783"/>
      <c r="V116" s="6604"/>
      <c r="W116" s="6604"/>
      <c r="X116" s="6605"/>
      <c r="Y116" s="6606"/>
      <c r="Z116" s="6607" t="s">
        <v>66</v>
      </c>
      <c r="AA116" s="6606"/>
      <c r="AB116" s="6607" t="s">
        <v>66</v>
      </c>
      <c r="AC116" s="6604">
        <v>37.33</v>
      </c>
      <c r="AD116" s="6604"/>
      <c r="AE116" s="6605"/>
      <c r="AF116" s="6606">
        <v>45658.61393518518</v>
      </c>
      <c r="AG116" s="6607" t="s">
        <v>66</v>
      </c>
      <c r="AH116" s="6707">
        <v>46022.61405092593</v>
      </c>
      <c r="AI116" s="6607" t="s">
        <v>66</v>
      </c>
      <c r="AJ116" s="6604">
        <v>34.84</v>
      </c>
      <c r="AK116" s="6604"/>
      <c r="AL116" s="6605"/>
      <c r="AM116" s="6606">
        <v>46023.6346412037</v>
      </c>
      <c r="AN116" s="6607" t="s">
        <v>66</v>
      </c>
      <c r="AO116" s="6606">
        <v>46387.635046296295</v>
      </c>
      <c r="AP116" s="6607" t="s">
        <v>66</v>
      </c>
      <c r="AQ116" s="6604">
        <v>35.79</v>
      </c>
      <c r="AR116" s="6604"/>
      <c r="AS116" s="6605"/>
      <c r="AT116" s="6606">
        <v>46388.63516203704</v>
      </c>
      <c r="AU116" s="6607" t="s">
        <v>66</v>
      </c>
      <c r="AV116" s="6606">
        <v>46752.63528935185</v>
      </c>
      <c r="AW116" s="6607" t="s">
        <v>66</v>
      </c>
      <c r="AX116" s="6604">
        <v>36.77</v>
      </c>
      <c r="AY116" s="6604"/>
      <c r="AZ116" s="6605"/>
      <c r="BA116" s="6606">
        <v>46753.63543981482</v>
      </c>
      <c r="BB116" s="6607" t="s">
        <v>66</v>
      </c>
      <c r="BC116" s="6606">
        <v>47118.635567129626</v>
      </c>
      <c r="BD116" s="6607" t="s">
        <v>66</v>
      </c>
      <c r="BE116" s="6802"/>
      <c r="BF116" s="68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116" s="6687">
        <f>STRCHECKDATE(V117:BE117)</f>
      </c>
      <c r="BH116" s="6785"/>
      <c r="BI116" s="6785" t="str">
        <f>IF(T116="","",T116)</f>
        <v>без НДС</v>
      </c>
      <c r="BJ116" s="6785"/>
      <c r="BK116" s="6785"/>
      <c r="BL116" s="6591">
        <v>0</v>
      </c>
    </row>
    <row s="7712" customFormat="1" customHeight="1" ht="14.25">
      <c r="A117" s="6773"/>
      <c r="B117" s="6773"/>
      <c r="C117" s="6773"/>
      <c r="D117" s="6773"/>
      <c r="E117" s="6774"/>
      <c r="F117" s="6774" t="s">
        <v>90</v>
      </c>
      <c r="G117" s="6774"/>
      <c r="H117" s="6774"/>
      <c r="I117" s="6796"/>
      <c r="J117" s="6796"/>
      <c r="K117" s="6787"/>
      <c r="L117" s="6776"/>
      <c r="M117" s="6788"/>
      <c r="N117" s="6788"/>
      <c r="O117" s="6788"/>
      <c r="P117" s="6789"/>
      <c r="Q117" s="6789"/>
      <c r="R117" s="6797"/>
      <c r="S117" s="6805"/>
      <c r="T117" s="6783"/>
      <c r="U117" s="6783"/>
      <c r="V117" s="6609"/>
      <c r="W117" s="6609"/>
      <c r="X117" s="6610" t="str">
        <f>Y116&amp;"-"&amp;AA116</f>
        <v>-</v>
      </c>
      <c r="Y117" s="6611"/>
      <c r="Z117" s="6607"/>
      <c r="AA117" s="6611"/>
      <c r="AB117" s="6607"/>
      <c r="AC117" s="6609"/>
      <c r="AD117" s="6609"/>
      <c r="AE117" s="6610" t="str">
        <f>AF116&amp;"-"&amp;AH116</f>
        <v>45658.61393518518-46022.61405092593</v>
      </c>
      <c r="AF117" s="6611"/>
      <c r="AG117" s="6607"/>
      <c r="AH117" s="6708"/>
      <c r="AI117" s="6607"/>
      <c r="AJ117" s="6609"/>
      <c r="AK117" s="6609"/>
      <c r="AL117" s="6610" t="str">
        <f>AM116&amp;"-"&amp;AO116</f>
        <v>46023.6346412037-46387.635046296295</v>
      </c>
      <c r="AM117" s="6611"/>
      <c r="AN117" s="6607"/>
      <c r="AO117" s="6611"/>
      <c r="AP117" s="6607"/>
      <c r="AQ117" s="6609"/>
      <c r="AR117" s="6609"/>
      <c r="AS117" s="6610" t="str">
        <f>AT116&amp;"-"&amp;AV116</f>
        <v>46388.63516203704-46752.63528935185</v>
      </c>
      <c r="AT117" s="6611"/>
      <c r="AU117" s="6607"/>
      <c r="AV117" s="6611"/>
      <c r="AW117" s="6607"/>
      <c r="AX117" s="6609"/>
      <c r="AY117" s="6609"/>
      <c r="AZ117" s="6610" t="str">
        <f>BA116&amp;"-"&amp;BC116</f>
        <v>46753.63543981482-47118.635567129626</v>
      </c>
      <c r="BA117" s="6611"/>
      <c r="BB117" s="6607"/>
      <c r="BC117" s="6611"/>
      <c r="BD117" s="6607"/>
      <c r="BE117" s="6806"/>
      <c r="BF117" s="6803"/>
      <c r="BG117" s="6687"/>
      <c r="BH117" s="6785"/>
      <c r="BI117" s="6785" t="str">
        <f>IF(T117="","",T117)</f>
        <v/>
      </c>
      <c r="BJ117" s="6785"/>
      <c r="BK117" s="6785"/>
      <c r="BL117" s="6591">
        <v>0</v>
      </c>
    </row>
    <row s="7713" customFormat="1" customHeight="1" ht="21">
      <c r="A118" s="6773"/>
      <c r="B118" s="6773"/>
      <c r="C118" s="6773"/>
      <c r="D118" s="6773"/>
      <c r="E118" s="6774"/>
      <c r="F118" s="6774" t="s">
        <v>90</v>
      </c>
      <c r="G118" s="6774"/>
      <c r="H118" s="6774"/>
      <c r="I118" s="6796"/>
      <c r="J118" s="6787"/>
      <c r="K118" s="6773"/>
      <c r="L118" s="6776"/>
      <c r="M118" s="6788"/>
      <c r="N118" s="6788"/>
      <c r="O118" s="6788"/>
      <c r="P118" s="6789"/>
      <c r="Q118" s="6789"/>
      <c r="R118" s="6790"/>
      <c r="S118" s="7714"/>
      <c r="T118" s="7715" t="s">
        <v>576</v>
      </c>
      <c r="U118" s="7716"/>
      <c r="V118" s="7717"/>
      <c r="W118" s="7718"/>
      <c r="X118" s="7719"/>
      <c r="Y118" s="7720"/>
      <c r="Z118" s="7721"/>
      <c r="AA118" s="7722"/>
      <c r="AB118" s="7723"/>
      <c r="AC118" s="7724"/>
      <c r="AD118" s="7725"/>
      <c r="AE118" s="7726"/>
      <c r="AF118" s="7727"/>
      <c r="AG118" s="7728"/>
      <c r="AH118" s="7729"/>
      <c r="AI118" s="7730"/>
      <c r="AJ118" s="7731"/>
      <c r="AK118" s="7732"/>
      <c r="AL118" s="7733"/>
      <c r="AM118" s="7734"/>
      <c r="AN118" s="7735"/>
      <c r="AO118" s="7736"/>
      <c r="AP118" s="7737"/>
      <c r="AQ118" s="7738"/>
      <c r="AR118" s="7739"/>
      <c r="AS118" s="7740"/>
      <c r="AT118" s="7741"/>
      <c r="AU118" s="7742"/>
      <c r="AV118" s="7743"/>
      <c r="AW118" s="7744"/>
      <c r="AX118" s="7745"/>
      <c r="AY118" s="7746"/>
      <c r="AZ118" s="7747"/>
      <c r="BA118" s="7748"/>
      <c r="BB118" s="7749"/>
      <c r="BC118" s="7750"/>
      <c r="BD118" s="7751"/>
      <c r="BE118" s="7752"/>
      <c r="BF118" s="6784" t="s">
        <v>577</v>
      </c>
      <c r="BG118" s="6687"/>
      <c r="BH118" s="6785"/>
      <c r="BI118" s="6785" t="str">
        <f>IF(T118="","",T118)</f>
        <v>Добавить значение признака дифференциации</v>
      </c>
      <c r="BJ118" s="6785"/>
      <c r="BK118" s="6785"/>
      <c r="BL118" s="6591">
        <v>0</v>
      </c>
    </row>
    <row s="7753" customFormat="1" customHeight="1" ht="21">
      <c r="A119" s="6773"/>
      <c r="B119" s="6773"/>
      <c r="C119" s="6773"/>
      <c r="D119" s="6773"/>
      <c r="E119" s="6774"/>
      <c r="F119" s="6774" t="s">
        <v>90</v>
      </c>
      <c r="G119" s="6774"/>
      <c r="H119" s="6774"/>
      <c r="I119" s="6787"/>
      <c r="J119" s="6773"/>
      <c r="K119" s="6773"/>
      <c r="L119" s="6776"/>
      <c r="M119" s="6788"/>
      <c r="N119" s="6788"/>
      <c r="O119" s="6788"/>
      <c r="P119" s="6789"/>
      <c r="Q119" s="6789"/>
      <c r="R119" s="6790"/>
      <c r="S119" s="7754"/>
      <c r="T119" s="7755" t="s">
        <v>505</v>
      </c>
      <c r="U119" s="7756"/>
      <c r="V119" s="7757"/>
      <c r="W119" s="7758"/>
      <c r="X119" s="7759"/>
      <c r="Y119" s="7760"/>
      <c r="Z119" s="7761"/>
      <c r="AA119" s="7762"/>
      <c r="AB119" s="7763"/>
      <c r="AC119" s="7764"/>
      <c r="AD119" s="7765"/>
      <c r="AE119" s="7766"/>
      <c r="AF119" s="7767"/>
      <c r="AG119" s="7768"/>
      <c r="AH119" s="7769"/>
      <c r="AI119" s="7770"/>
      <c r="AJ119" s="7771"/>
      <c r="AK119" s="7772"/>
      <c r="AL119" s="7773"/>
      <c r="AM119" s="7774"/>
      <c r="AN119" s="7775"/>
      <c r="AO119" s="7776"/>
      <c r="AP119" s="7777"/>
      <c r="AQ119" s="7778"/>
      <c r="AR119" s="7779"/>
      <c r="AS119" s="7780"/>
      <c r="AT119" s="7781"/>
      <c r="AU119" s="7782"/>
      <c r="AV119" s="7783"/>
      <c r="AW119" s="7784"/>
      <c r="AX119" s="7785"/>
      <c r="AY119" s="7786"/>
      <c r="AZ119" s="7787"/>
      <c r="BA119" s="7788"/>
      <c r="BB119" s="7789"/>
      <c r="BC119" s="7790"/>
      <c r="BD119" s="7791"/>
      <c r="BE119" s="7792"/>
      <c r="BF119" s="7793"/>
      <c r="BG119" s="6687"/>
      <c r="BH119" s="6785"/>
      <c r="BI119" s="6785" t="str">
        <f>IF(T119="","",T119)</f>
        <v>Добавить группу потребителей</v>
      </c>
      <c r="BJ119" s="6785"/>
      <c r="BK119" s="6785"/>
      <c r="BL119" s="6591">
        <v>0</v>
      </c>
    </row>
    <row s="7794" customFormat="1" customHeight="1" ht="21">
      <c r="A120" s="6773"/>
      <c r="B120" s="6773"/>
      <c r="C120" s="6773"/>
      <c r="D120" s="6773"/>
      <c r="E120" s="6774"/>
      <c r="F120" s="6774" t="s">
        <v>90</v>
      </c>
      <c r="G120" s="6774"/>
      <c r="H120" s="6775"/>
      <c r="I120" s="6773"/>
      <c r="J120" s="6773"/>
      <c r="K120" s="6773"/>
      <c r="L120" s="6776"/>
      <c r="M120" s="6777"/>
      <c r="N120" s="6777"/>
      <c r="O120" s="6678"/>
      <c r="P120" s="6889"/>
      <c r="Q120" s="6890"/>
      <c r="R120" s="6891"/>
      <c r="S120" s="7795"/>
      <c r="T120" s="7796" t="s">
        <v>578</v>
      </c>
      <c r="U120" s="7797"/>
      <c r="V120" s="7798"/>
      <c r="W120" s="7799"/>
      <c r="X120" s="7800"/>
      <c r="Y120" s="7801"/>
      <c r="Z120" s="7802"/>
      <c r="AA120" s="7803"/>
      <c r="AB120" s="7804"/>
      <c r="AC120" s="7805"/>
      <c r="AD120" s="7806"/>
      <c r="AE120" s="7807"/>
      <c r="AF120" s="7808"/>
      <c r="AG120" s="7809"/>
      <c r="AH120" s="7810"/>
      <c r="AI120" s="7811"/>
      <c r="AJ120" s="7812"/>
      <c r="AK120" s="7813"/>
      <c r="AL120" s="7814"/>
      <c r="AM120" s="7815"/>
      <c r="AN120" s="7816"/>
      <c r="AO120" s="7817"/>
      <c r="AP120" s="7818"/>
      <c r="AQ120" s="7819"/>
      <c r="AR120" s="7820"/>
      <c r="AS120" s="7821"/>
      <c r="AT120" s="7822"/>
      <c r="AU120" s="7823"/>
      <c r="AV120" s="7824"/>
      <c r="AW120" s="7825"/>
      <c r="AX120" s="7826"/>
      <c r="AY120" s="7827"/>
      <c r="AZ120" s="7828"/>
      <c r="BA120" s="7829"/>
      <c r="BB120" s="7830"/>
      <c r="BC120" s="7831"/>
      <c r="BD120" s="7832"/>
      <c r="BE120" s="7833"/>
      <c r="BF120" s="7834"/>
      <c r="BG120" s="6687"/>
      <c r="BH120" s="6785"/>
      <c r="BI120" s="6785" t="str">
        <f>IF(T120="","",T120)</f>
        <v>Добавить наименование признака дифференциации</v>
      </c>
      <c r="BJ120" s="6785"/>
      <c r="BK120" s="6785"/>
      <c r="BL120" s="6591">
        <v>0</v>
      </c>
    </row>
    <row s="7835" customFormat="1" customHeight="1" ht="14.25">
      <c r="A121" s="7571"/>
      <c r="B121" s="7571"/>
      <c r="C121" s="7571"/>
      <c r="D121" s="7571"/>
      <c r="E121" s="6774"/>
      <c r="F121" s="6775" t="s">
        <v>90</v>
      </c>
      <c r="G121" s="7571"/>
      <c r="H121" s="7571"/>
      <c r="I121" s="7571"/>
      <c r="J121" s="7571"/>
      <c r="K121" s="7571"/>
      <c r="L121" s="7572"/>
      <c r="M121" s="7573"/>
      <c r="N121" s="7573"/>
      <c r="O121" s="6687"/>
      <c r="P121" s="7574"/>
      <c r="Q121" s="7575"/>
      <c r="R121" s="7574"/>
      <c r="S121" s="7576"/>
      <c r="T121" s="7577" t="s">
        <v>312</v>
      </c>
      <c r="U121" s="6676"/>
      <c r="V121" s="6676"/>
      <c r="W121" s="6676"/>
      <c r="X121" s="6676"/>
      <c r="Y121" s="6676"/>
      <c r="Z121" s="6676"/>
      <c r="AA121" s="6676"/>
      <c r="AB121" s="6676"/>
      <c r="AC121" s="6676"/>
      <c r="AD121" s="6676"/>
      <c r="AE121" s="6676"/>
      <c r="AF121" s="6676"/>
      <c r="AG121" s="6676"/>
      <c r="AH121" s="6676"/>
      <c r="AI121" s="6676"/>
      <c r="AJ121" s="6676"/>
      <c r="AK121" s="6676"/>
      <c r="AL121" s="6676"/>
      <c r="AM121" s="6676"/>
      <c r="AN121" s="6676"/>
      <c r="AO121" s="6676"/>
      <c r="AP121" s="6676"/>
      <c r="AQ121" s="6676"/>
      <c r="AR121" s="6676"/>
      <c r="AS121" s="6676"/>
      <c r="AT121" s="6676"/>
      <c r="AU121" s="6676"/>
      <c r="AV121" s="6676"/>
      <c r="AW121" s="6676"/>
      <c r="AX121" s="6676"/>
      <c r="AY121" s="6676"/>
      <c r="AZ121" s="6676"/>
      <c r="BA121" s="6676"/>
      <c r="BB121" s="6676"/>
      <c r="BC121" s="6676"/>
      <c r="BD121" s="6676"/>
      <c r="BE121" s="6676"/>
      <c r="BF121" s="6676"/>
      <c r="BG121" s="6687"/>
      <c r="BH121" s="6785"/>
      <c r="BI121" s="6785" t="str">
        <f>IF(T121="","",T121)</f>
        <v>Добавить централизованную систему для дифференциации</v>
      </c>
      <c r="BJ121" s="6785"/>
      <c r="BK121" s="6785"/>
      <c r="BL121" s="6687">
        <v>0</v>
      </c>
    </row>
    <row s="7836" customFormat="1" customHeight="1" ht="23.25">
      <c r="A122" s="6773"/>
      <c r="B122" s="6773" t="s">
        <v>329</v>
      </c>
      <c r="C122" s="6773"/>
      <c r="D122" s="6773"/>
      <c r="E122" s="6774"/>
      <c r="F122" s="6775" t="s">
        <v>116</v>
      </c>
      <c r="G122" s="6773"/>
      <c r="H122" s="6773"/>
      <c r="I122" s="6773"/>
      <c r="J122" s="6773"/>
      <c r="K122" s="6773"/>
      <c r="L122" s="6776"/>
      <c r="M122" s="6777"/>
      <c r="N122" s="6777"/>
      <c r="O122" s="6777"/>
      <c r="P122" s="7314"/>
      <c r="Q122" s="6779"/>
      <c r="R122" s="6780"/>
      <c r="S122" s="6781" t="str">
        <f>INDEX(PT_DIFFERENTIATION_NUM_TER,MATCH(B122,PT_DIFFERENTIATION_TER_ID,0))</f>
        <v>1.5</v>
      </c>
      <c r="T122" s="7315" t="s">
        <v>490</v>
      </c>
      <c r="U122" s="6783"/>
      <c r="V122" s="6593"/>
      <c r="W122" s="6594"/>
      <c r="X122" s="6594"/>
      <c r="Y122" s="6594"/>
      <c r="Z122" s="6594"/>
      <c r="AA122" s="6594"/>
      <c r="AB122" s="6595"/>
      <c r="AC122" s="6593" t="str">
        <f>INDEX(PT_DIFFERENTIATION_TER,MATCH(B122,PT_DIFFERENTIATION_TER_ID,0))</f>
        <v>Территория 5</v>
      </c>
      <c r="AD122" s="6594"/>
      <c r="AE122" s="6594"/>
      <c r="AF122" s="6594"/>
      <c r="AG122" s="6594"/>
      <c r="AH122" s="6594"/>
      <c r="AI122" s="6594"/>
      <c r="AJ122" s="6593"/>
      <c r="AK122" s="6594"/>
      <c r="AL122" s="6594"/>
      <c r="AM122" s="6594"/>
      <c r="AN122" s="6594"/>
      <c r="AO122" s="6594"/>
      <c r="AP122" s="6595"/>
      <c r="AQ122" s="6593"/>
      <c r="AR122" s="6594"/>
      <c r="AS122" s="6594"/>
      <c r="AT122" s="6594"/>
      <c r="AU122" s="6594"/>
      <c r="AV122" s="6594"/>
      <c r="AW122" s="6595"/>
      <c r="AX122" s="6593"/>
      <c r="AY122" s="6594"/>
      <c r="AZ122" s="6594"/>
      <c r="BA122" s="6594"/>
      <c r="BB122" s="6594"/>
      <c r="BC122" s="6594"/>
      <c r="BD122" s="6595"/>
      <c r="BE122" s="6595"/>
      <c r="BF122" s="6784" t="s">
        <v>491</v>
      </c>
      <c r="BG122" s="6687"/>
      <c r="BH122" s="6785"/>
      <c r="BI122" s="6785" t="str">
        <f>IF(T122="","",T122)</f>
        <v>Территория действия тарифа</v>
      </c>
      <c r="BJ122" s="6785"/>
      <c r="BK122" s="6785"/>
      <c r="BL122" s="6591">
        <v>0</v>
      </c>
    </row>
    <row s="7837" customFormat="1" customHeight="1" ht="23.25">
      <c r="A123" s="6773"/>
      <c r="B123" s="6773"/>
      <c r="C123" s="6773" t="s">
        <v>330</v>
      </c>
      <c r="D123" s="6773"/>
      <c r="E123" s="6774"/>
      <c r="F123" s="6774" t="s">
        <v>91</v>
      </c>
      <c r="G123" s="6775">
        <v>1</v>
      </c>
      <c r="H123" s="6773"/>
      <c r="I123" s="6773"/>
      <c r="J123" s="6773"/>
      <c r="K123" s="6773"/>
      <c r="L123" s="6776"/>
      <c r="M123" s="6777"/>
      <c r="N123" s="6777"/>
      <c r="O123" s="6777"/>
      <c r="P123" s="6778"/>
      <c r="Q123" s="6779"/>
      <c r="R123" s="6780"/>
      <c r="S123" s="6781" t="str">
        <f>INDEX(PT_DIFFERENTIATION_NUM_CS,MATCH(C123,PT_DIFFERENTIATION_CS_ID,0))</f>
        <v>1.5.1</v>
      </c>
      <c r="T123" s="6782" t="s">
        <v>606</v>
      </c>
      <c r="U123" s="6783"/>
      <c r="V123" s="6593"/>
      <c r="W123" s="6594"/>
      <c r="X123" s="6594"/>
      <c r="Y123" s="6594"/>
      <c r="Z123" s="6594"/>
      <c r="AA123" s="6594"/>
      <c r="AB123" s="6595"/>
      <c r="AC123" s="6593" t="str">
        <f>INDEX(PT_DIFFERENTIATION_CS,MATCH(C123,PT_DIFFERENTIATION_CS_ID,0))</f>
        <v>Новошахтинское ГП</v>
      </c>
      <c r="AD123" s="6594"/>
      <c r="AE123" s="6594"/>
      <c r="AF123" s="6594"/>
      <c r="AG123" s="6594"/>
      <c r="AH123" s="6594"/>
      <c r="AI123" s="6594"/>
      <c r="AJ123" s="6593"/>
      <c r="AK123" s="6594"/>
      <c r="AL123" s="6594"/>
      <c r="AM123" s="6594"/>
      <c r="AN123" s="6594"/>
      <c r="AO123" s="6594"/>
      <c r="AP123" s="6595"/>
      <c r="AQ123" s="6593"/>
      <c r="AR123" s="6594"/>
      <c r="AS123" s="6594"/>
      <c r="AT123" s="6594"/>
      <c r="AU123" s="6594"/>
      <c r="AV123" s="6594"/>
      <c r="AW123" s="6595"/>
      <c r="AX123" s="6593"/>
      <c r="AY123" s="6594"/>
      <c r="AZ123" s="6594"/>
      <c r="BA123" s="6594"/>
      <c r="BB123" s="6594"/>
      <c r="BC123" s="6594"/>
      <c r="BD123" s="6595"/>
      <c r="BE123" s="6595"/>
      <c r="BF123" s="6784" t="s">
        <v>607</v>
      </c>
      <c r="BG123" s="6687"/>
      <c r="BH123" s="6785"/>
      <c r="BI123" s="6785" t="str">
        <f>IF(T123="","",T123)</f>
        <v>Наименование централизованной системы водоотведения</v>
      </c>
      <c r="BJ123" s="6785"/>
      <c r="BK123" s="6785"/>
      <c r="BL123" s="6591">
        <v>0</v>
      </c>
    </row>
    <row s="7838" customFormat="1" customHeight="1" ht="23.25">
      <c r="A124" s="6773"/>
      <c r="B124" s="6773"/>
      <c r="C124" s="6773"/>
      <c r="D124" s="6773"/>
      <c r="E124" s="6774"/>
      <c r="F124" s="6774" t="s">
        <v>91</v>
      </c>
      <c r="G124" s="6774"/>
      <c r="H124" s="6774"/>
      <c r="I124" s="6787" t="str">
        <f>S123&amp;".1"</f>
        <v>1.5.1.1</v>
      </c>
      <c r="J124" s="6773"/>
      <c r="K124" s="6773"/>
      <c r="L124" s="6776"/>
      <c r="M124" s="6788"/>
      <c r="N124" s="6788"/>
      <c r="O124" s="6788"/>
      <c r="P124" s="6789">
        <v>1</v>
      </c>
      <c r="Q124" s="6789"/>
      <c r="R124" s="6790"/>
      <c r="S124" s="6781" t="str">
        <f>$I124</f>
        <v>1.5.1.1</v>
      </c>
      <c r="T124" s="6791" t="s">
        <v>573</v>
      </c>
      <c r="U124" s="6783"/>
      <c r="V124" s="6598"/>
      <c r="W124" s="6599"/>
      <c r="X124" s="6599"/>
      <c r="Y124" s="6599"/>
      <c r="Z124" s="6599"/>
      <c r="AA124" s="6599"/>
      <c r="AB124" s="6600"/>
      <c r="AC124" s="6792"/>
      <c r="AD124" s="6793"/>
      <c r="AE124" s="6793"/>
      <c r="AF124" s="6793"/>
      <c r="AG124" s="6793"/>
      <c r="AH124" s="6793"/>
      <c r="AI124" s="6793"/>
      <c r="AJ124" s="6598"/>
      <c r="AK124" s="6599"/>
      <c r="AL124" s="6599"/>
      <c r="AM124" s="6599"/>
      <c r="AN124" s="6599"/>
      <c r="AO124" s="6599"/>
      <c r="AP124" s="6600"/>
      <c r="AQ124" s="6598"/>
      <c r="AR124" s="6599"/>
      <c r="AS124" s="6599"/>
      <c r="AT124" s="6599"/>
      <c r="AU124" s="6599"/>
      <c r="AV124" s="6599"/>
      <c r="AW124" s="6600"/>
      <c r="AX124" s="6598"/>
      <c r="AY124" s="6599"/>
      <c r="AZ124" s="6599"/>
      <c r="BA124" s="6599"/>
      <c r="BB124" s="6599"/>
      <c r="BC124" s="6599"/>
      <c r="BD124" s="6600"/>
      <c r="BE124" s="6794"/>
      <c r="BF124" s="6784" t="s">
        <v>574</v>
      </c>
      <c r="BG124" s="6687"/>
      <c r="BH124" s="6785"/>
      <c r="BI124" s="6785" t="str">
        <f>IF(T124="","",T124)</f>
        <v>Наименование признака дифференциации</v>
      </c>
      <c r="BJ124" s="6785"/>
      <c r="BK124" s="6785"/>
      <c r="BL124" s="6591">
        <v>0</v>
      </c>
    </row>
    <row s="7839" customFormat="1" customHeight="1" ht="23.25">
      <c r="A125" s="6773"/>
      <c r="B125" s="6773"/>
      <c r="C125" s="6773"/>
      <c r="D125" s="6773"/>
      <c r="E125" s="6774"/>
      <c r="F125" s="6774" t="s">
        <v>91</v>
      </c>
      <c r="G125" s="6774"/>
      <c r="H125" s="6774"/>
      <c r="I125" s="6796"/>
      <c r="J125" s="6787" t="str">
        <f>I124&amp;".1"</f>
        <v>1.5.1.1.1</v>
      </c>
      <c r="K125" s="6773"/>
      <c r="L125" s="6776" t="s">
        <v>499</v>
      </c>
      <c r="M125" s="6788"/>
      <c r="N125" s="6788"/>
      <c r="O125" s="6788"/>
      <c r="P125" s="6789"/>
      <c r="Q125" s="6789">
        <v>1</v>
      </c>
      <c r="R125" s="6797"/>
      <c r="S125" s="6781" t="str">
        <f>$J125</f>
        <v>1.5.1.1.1</v>
      </c>
      <c r="T125" s="6798" t="s">
        <v>500</v>
      </c>
      <c r="U125" s="6783"/>
      <c r="V125" s="6601"/>
      <c r="W125" s="6602"/>
      <c r="X125" s="6602"/>
      <c r="Y125" s="6602"/>
      <c r="Z125" s="6602"/>
      <c r="AA125" s="6602"/>
      <c r="AB125" s="6603"/>
      <c r="AC125" s="6601" t="s">
        <v>611</v>
      </c>
      <c r="AD125" s="6602"/>
      <c r="AE125" s="6602"/>
      <c r="AF125" s="6602"/>
      <c r="AG125" s="6602"/>
      <c r="AH125" s="6602"/>
      <c r="AI125" s="6602"/>
      <c r="AJ125" s="6601"/>
      <c r="AK125" s="6602"/>
      <c r="AL125" s="6602"/>
      <c r="AM125" s="6602"/>
      <c r="AN125" s="6602"/>
      <c r="AO125" s="6602"/>
      <c r="AP125" s="6603"/>
      <c r="AQ125" s="6601"/>
      <c r="AR125" s="6602"/>
      <c r="AS125" s="6602"/>
      <c r="AT125" s="6602"/>
      <c r="AU125" s="6602"/>
      <c r="AV125" s="6602"/>
      <c r="AW125" s="6603"/>
      <c r="AX125" s="6601"/>
      <c r="AY125" s="6602"/>
      <c r="AZ125" s="6602"/>
      <c r="BA125" s="6602"/>
      <c r="BB125" s="6602"/>
      <c r="BC125" s="6602"/>
      <c r="BD125" s="6603"/>
      <c r="BE125" s="6603"/>
      <c r="BF125" s="6799" t="s">
        <v>575</v>
      </c>
      <c r="BG125" s="6687"/>
      <c r="BH125" s="6785"/>
      <c r="BI125" s="6785" t="str">
        <f>IF(T125="","",T125)</f>
        <v>Группа потребителей</v>
      </c>
      <c r="BJ125" s="6785"/>
      <c r="BK125" s="6785"/>
      <c r="BL125" s="6591">
        <v>0</v>
      </c>
    </row>
    <row s="7840" customFormat="1" customHeight="1" ht="23.25">
      <c r="A126" s="6773"/>
      <c r="B126" s="6773"/>
      <c r="C126" s="6773"/>
      <c r="D126" s="6773"/>
      <c r="E126" s="6774"/>
      <c r="F126" s="6774" t="s">
        <v>91</v>
      </c>
      <c r="G126" s="6774"/>
      <c r="H126" s="6774"/>
      <c r="I126" s="6796"/>
      <c r="J126" s="6796"/>
      <c r="K126" s="6787" t="str">
        <f>J125&amp;".1"</f>
        <v>1.5.1.1.1.1</v>
      </c>
      <c r="L126" s="6776"/>
      <c r="M126" s="6788"/>
      <c r="N126" s="6788"/>
      <c r="O126" s="6788"/>
      <c r="P126" s="6789"/>
      <c r="Q126" s="6789"/>
      <c r="R126" s="6797">
        <v>1</v>
      </c>
      <c r="S126" s="6781" t="str">
        <f>$K126</f>
        <v>1.5.1.1.1.1</v>
      </c>
      <c r="T126" s="6801" t="s">
        <v>569</v>
      </c>
      <c r="U126" s="6783"/>
      <c r="V126" s="6604"/>
      <c r="W126" s="6604"/>
      <c r="X126" s="6605"/>
      <c r="Y126" s="6606"/>
      <c r="Z126" s="6607" t="s">
        <v>66</v>
      </c>
      <c r="AA126" s="6606"/>
      <c r="AB126" s="6607" t="s">
        <v>66</v>
      </c>
      <c r="AC126" s="6604">
        <v>34.94</v>
      </c>
      <c r="AD126" s="6604"/>
      <c r="AE126" s="6605"/>
      <c r="AF126" s="6606">
        <v>45658.61461805556</v>
      </c>
      <c r="AG126" s="6607" t="s">
        <v>66</v>
      </c>
      <c r="AH126" s="6707">
        <v>46022.61471064815</v>
      </c>
      <c r="AI126" s="6607" t="s">
        <v>66</v>
      </c>
      <c r="AJ126" s="6604">
        <v>34.01</v>
      </c>
      <c r="AK126" s="6604"/>
      <c r="AL126" s="6605"/>
      <c r="AM126" s="6606">
        <v>46023.63375</v>
      </c>
      <c r="AN126" s="6607" t="s">
        <v>66</v>
      </c>
      <c r="AO126" s="6606">
        <v>46387.63392361111</v>
      </c>
      <c r="AP126" s="6607" t="s">
        <v>66</v>
      </c>
      <c r="AQ126" s="6604">
        <v>34.93</v>
      </c>
      <c r="AR126" s="6604"/>
      <c r="AS126" s="6605"/>
      <c r="AT126" s="6606">
        <v>46388.634039351855</v>
      </c>
      <c r="AU126" s="6607" t="s">
        <v>66</v>
      </c>
      <c r="AV126" s="6606">
        <v>46752.63417824074</v>
      </c>
      <c r="AW126" s="6607" t="s">
        <v>66</v>
      </c>
      <c r="AX126" s="6604">
        <v>35.88</v>
      </c>
      <c r="AY126" s="6604"/>
      <c r="AZ126" s="6605"/>
      <c r="BA126" s="6606">
        <v>46753.63434027778</v>
      </c>
      <c r="BB126" s="6607" t="s">
        <v>66</v>
      </c>
      <c r="BC126" s="6606">
        <v>47118.63447916666</v>
      </c>
      <c r="BD126" s="6607" t="s">
        <v>66</v>
      </c>
      <c r="BE126" s="6802"/>
      <c r="BF126" s="68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126" s="6687">
        <f>STRCHECKDATE(V127:BE127)</f>
      </c>
      <c r="BH126" s="6785"/>
      <c r="BI126" s="6785" t="str">
        <f>IF(T126="","",T126)</f>
        <v>без НДС</v>
      </c>
      <c r="BJ126" s="6785"/>
      <c r="BK126" s="6785"/>
      <c r="BL126" s="6591">
        <v>0</v>
      </c>
    </row>
    <row s="7841" customFormat="1" customHeight="1" ht="14.25">
      <c r="A127" s="6773"/>
      <c r="B127" s="6773"/>
      <c r="C127" s="6773"/>
      <c r="D127" s="6773"/>
      <c r="E127" s="6774"/>
      <c r="F127" s="6774" t="s">
        <v>91</v>
      </c>
      <c r="G127" s="6774"/>
      <c r="H127" s="6774"/>
      <c r="I127" s="6796"/>
      <c r="J127" s="6796"/>
      <c r="K127" s="6787"/>
      <c r="L127" s="6776"/>
      <c r="M127" s="6788"/>
      <c r="N127" s="6788"/>
      <c r="O127" s="6788"/>
      <c r="P127" s="6789"/>
      <c r="Q127" s="6789"/>
      <c r="R127" s="6797"/>
      <c r="S127" s="6805"/>
      <c r="T127" s="6783"/>
      <c r="U127" s="6783"/>
      <c r="V127" s="6609"/>
      <c r="W127" s="6609"/>
      <c r="X127" s="6610" t="str">
        <f>Y126&amp;"-"&amp;AA126</f>
        <v>-</v>
      </c>
      <c r="Y127" s="6611"/>
      <c r="Z127" s="6607"/>
      <c r="AA127" s="6611"/>
      <c r="AB127" s="6607"/>
      <c r="AC127" s="6609"/>
      <c r="AD127" s="6609"/>
      <c r="AE127" s="6610" t="str">
        <f>AF126&amp;"-"&amp;AH126</f>
        <v>45658.61461805556-46022.61471064815</v>
      </c>
      <c r="AF127" s="6611"/>
      <c r="AG127" s="6607"/>
      <c r="AH127" s="6708"/>
      <c r="AI127" s="6607"/>
      <c r="AJ127" s="6609"/>
      <c r="AK127" s="6609"/>
      <c r="AL127" s="6610" t="str">
        <f>AM126&amp;"-"&amp;AO126</f>
        <v>46023.63375-46387.63392361111</v>
      </c>
      <c r="AM127" s="6611"/>
      <c r="AN127" s="6607"/>
      <c r="AO127" s="6611"/>
      <c r="AP127" s="6607"/>
      <c r="AQ127" s="6609"/>
      <c r="AR127" s="6609"/>
      <c r="AS127" s="6610" t="str">
        <f>AT126&amp;"-"&amp;AV126</f>
        <v>46388.634039351855-46752.63417824074</v>
      </c>
      <c r="AT127" s="6611"/>
      <c r="AU127" s="6607"/>
      <c r="AV127" s="6611"/>
      <c r="AW127" s="6607"/>
      <c r="AX127" s="6609"/>
      <c r="AY127" s="6609"/>
      <c r="AZ127" s="6610" t="str">
        <f>BA126&amp;"-"&amp;BC126</f>
        <v>46753.63434027778-47118.63447916666</v>
      </c>
      <c r="BA127" s="6611"/>
      <c r="BB127" s="6607"/>
      <c r="BC127" s="6611"/>
      <c r="BD127" s="6607"/>
      <c r="BE127" s="6806"/>
      <c r="BF127" s="6803"/>
      <c r="BG127" s="6687"/>
      <c r="BH127" s="6785"/>
      <c r="BI127" s="6785" t="str">
        <f>IF(T127="","",T127)</f>
        <v/>
      </c>
      <c r="BJ127" s="6785"/>
      <c r="BK127" s="6785"/>
      <c r="BL127" s="6591">
        <v>0</v>
      </c>
    </row>
    <row s="7842" customFormat="1" customHeight="1" ht="21">
      <c r="A128" s="6773"/>
      <c r="B128" s="6773"/>
      <c r="C128" s="6773"/>
      <c r="D128" s="6773"/>
      <c r="E128" s="6774"/>
      <c r="F128" s="6774" t="s">
        <v>91</v>
      </c>
      <c r="G128" s="6774"/>
      <c r="H128" s="6774"/>
      <c r="I128" s="6796"/>
      <c r="J128" s="6787"/>
      <c r="K128" s="6773"/>
      <c r="L128" s="6776"/>
      <c r="M128" s="6788"/>
      <c r="N128" s="6788"/>
      <c r="O128" s="6788"/>
      <c r="P128" s="6789"/>
      <c r="Q128" s="6789"/>
      <c r="R128" s="6790"/>
      <c r="S128" s="7843"/>
      <c r="T128" s="7844" t="s">
        <v>576</v>
      </c>
      <c r="U128" s="7845"/>
      <c r="V128" s="7846"/>
      <c r="W128" s="7847"/>
      <c r="X128" s="7848"/>
      <c r="Y128" s="7849"/>
      <c r="Z128" s="7850"/>
      <c r="AA128" s="7851"/>
      <c r="AB128" s="7852"/>
      <c r="AC128" s="7853"/>
      <c r="AD128" s="7854"/>
      <c r="AE128" s="7855"/>
      <c r="AF128" s="7856"/>
      <c r="AG128" s="7857"/>
      <c r="AH128" s="7858"/>
      <c r="AI128" s="7859"/>
      <c r="AJ128" s="7860"/>
      <c r="AK128" s="7861"/>
      <c r="AL128" s="7862"/>
      <c r="AM128" s="7863"/>
      <c r="AN128" s="7864"/>
      <c r="AO128" s="7865"/>
      <c r="AP128" s="7866"/>
      <c r="AQ128" s="7867"/>
      <c r="AR128" s="7868"/>
      <c r="AS128" s="7869"/>
      <c r="AT128" s="7870"/>
      <c r="AU128" s="7871"/>
      <c r="AV128" s="7872"/>
      <c r="AW128" s="7873"/>
      <c r="AX128" s="7874"/>
      <c r="AY128" s="7875"/>
      <c r="AZ128" s="7876"/>
      <c r="BA128" s="7877"/>
      <c r="BB128" s="7878"/>
      <c r="BC128" s="7879"/>
      <c r="BD128" s="7880"/>
      <c r="BE128" s="7881"/>
      <c r="BF128" s="6784" t="s">
        <v>577</v>
      </c>
      <c r="BG128" s="6687"/>
      <c r="BH128" s="6785"/>
      <c r="BI128" s="6785" t="str">
        <f>IF(T128="","",T128)</f>
        <v>Добавить значение признака дифференциации</v>
      </c>
      <c r="BJ128" s="6785"/>
      <c r="BK128" s="6785"/>
      <c r="BL128" s="6591">
        <v>0</v>
      </c>
    </row>
    <row s="7882" customFormat="1" customHeight="1" ht="21">
      <c r="A129" s="6773"/>
      <c r="B129" s="6773"/>
      <c r="C129" s="6773"/>
      <c r="D129" s="6773"/>
      <c r="E129" s="6774"/>
      <c r="F129" s="6774" t="s">
        <v>91</v>
      </c>
      <c r="G129" s="6774"/>
      <c r="H129" s="6774"/>
      <c r="I129" s="6787"/>
      <c r="J129" s="6773"/>
      <c r="K129" s="6773"/>
      <c r="L129" s="6776"/>
      <c r="M129" s="6788"/>
      <c r="N129" s="6788"/>
      <c r="O129" s="6788"/>
      <c r="P129" s="6789"/>
      <c r="Q129" s="6789"/>
      <c r="R129" s="6790"/>
      <c r="S129" s="7883"/>
      <c r="T129" s="7884" t="s">
        <v>505</v>
      </c>
      <c r="U129" s="7885"/>
      <c r="V129" s="7886"/>
      <c r="W129" s="7887"/>
      <c r="X129" s="7888"/>
      <c r="Y129" s="7889"/>
      <c r="Z129" s="7890"/>
      <c r="AA129" s="7891"/>
      <c r="AB129" s="7892"/>
      <c r="AC129" s="7893"/>
      <c r="AD129" s="7894"/>
      <c r="AE129" s="7895"/>
      <c r="AF129" s="7896"/>
      <c r="AG129" s="7897"/>
      <c r="AH129" s="7898"/>
      <c r="AI129" s="7899"/>
      <c r="AJ129" s="7900"/>
      <c r="AK129" s="7901"/>
      <c r="AL129" s="7902"/>
      <c r="AM129" s="7903"/>
      <c r="AN129" s="7904"/>
      <c r="AO129" s="7905"/>
      <c r="AP129" s="7906"/>
      <c r="AQ129" s="7907"/>
      <c r="AR129" s="7908"/>
      <c r="AS129" s="7909"/>
      <c r="AT129" s="7910"/>
      <c r="AU129" s="7911"/>
      <c r="AV129" s="7912"/>
      <c r="AW129" s="7913"/>
      <c r="AX129" s="7914"/>
      <c r="AY129" s="7915"/>
      <c r="AZ129" s="7916"/>
      <c r="BA129" s="7917"/>
      <c r="BB129" s="7918"/>
      <c r="BC129" s="7919"/>
      <c r="BD129" s="7920"/>
      <c r="BE129" s="7921"/>
      <c r="BF129" s="7922"/>
      <c r="BG129" s="6687"/>
      <c r="BH129" s="6785"/>
      <c r="BI129" s="6785" t="str">
        <f>IF(T129="","",T129)</f>
        <v>Добавить группу потребителей</v>
      </c>
      <c r="BJ129" s="6785"/>
      <c r="BK129" s="6785"/>
      <c r="BL129" s="6591">
        <v>0</v>
      </c>
    </row>
    <row s="7923" customFormat="1" customHeight="1" ht="21">
      <c r="A130" s="6773"/>
      <c r="B130" s="6773"/>
      <c r="C130" s="6773"/>
      <c r="D130" s="6773"/>
      <c r="E130" s="6774"/>
      <c r="F130" s="6774" t="s">
        <v>91</v>
      </c>
      <c r="G130" s="6774"/>
      <c r="H130" s="6775"/>
      <c r="I130" s="6773"/>
      <c r="J130" s="6773"/>
      <c r="K130" s="6773"/>
      <c r="L130" s="6776"/>
      <c r="M130" s="6777"/>
      <c r="N130" s="6777"/>
      <c r="O130" s="6678"/>
      <c r="P130" s="6889"/>
      <c r="Q130" s="6890"/>
      <c r="R130" s="6891"/>
      <c r="S130" s="7924"/>
      <c r="T130" s="7925" t="s">
        <v>578</v>
      </c>
      <c r="U130" s="7926"/>
      <c r="V130" s="7927"/>
      <c r="W130" s="7928"/>
      <c r="X130" s="7929"/>
      <c r="Y130" s="7930"/>
      <c r="Z130" s="7931"/>
      <c r="AA130" s="7932"/>
      <c r="AB130" s="7933"/>
      <c r="AC130" s="7934"/>
      <c r="AD130" s="7935"/>
      <c r="AE130" s="7936"/>
      <c r="AF130" s="7937"/>
      <c r="AG130" s="7938"/>
      <c r="AH130" s="7939"/>
      <c r="AI130" s="7940"/>
      <c r="AJ130" s="7941"/>
      <c r="AK130" s="7942"/>
      <c r="AL130" s="7943"/>
      <c r="AM130" s="7944"/>
      <c r="AN130" s="7945"/>
      <c r="AO130" s="7946"/>
      <c r="AP130" s="7947"/>
      <c r="AQ130" s="7948"/>
      <c r="AR130" s="7949"/>
      <c r="AS130" s="7950"/>
      <c r="AT130" s="7951"/>
      <c r="AU130" s="7952"/>
      <c r="AV130" s="7953"/>
      <c r="AW130" s="7954"/>
      <c r="AX130" s="7955"/>
      <c r="AY130" s="7956"/>
      <c r="AZ130" s="7957"/>
      <c r="BA130" s="7958"/>
      <c r="BB130" s="7959"/>
      <c r="BC130" s="7960"/>
      <c r="BD130" s="7961"/>
      <c r="BE130" s="7962"/>
      <c r="BF130" s="7963"/>
      <c r="BG130" s="6687"/>
      <c r="BH130" s="6785"/>
      <c r="BI130" s="6785" t="str">
        <f>IF(T130="","",T130)</f>
        <v>Добавить наименование признака дифференциации</v>
      </c>
      <c r="BJ130" s="6785"/>
      <c r="BK130" s="6785"/>
      <c r="BL130" s="6591">
        <v>0</v>
      </c>
    </row>
    <row s="7964" customFormat="1" customHeight="1" ht="14.25">
      <c r="A131" s="7571"/>
      <c r="B131" s="7571"/>
      <c r="C131" s="7571"/>
      <c r="D131" s="7571"/>
      <c r="E131" s="6774"/>
      <c r="F131" s="6775" t="s">
        <v>91</v>
      </c>
      <c r="G131" s="7571"/>
      <c r="H131" s="7571"/>
      <c r="I131" s="7571"/>
      <c r="J131" s="7571"/>
      <c r="K131" s="7571"/>
      <c r="L131" s="7572"/>
      <c r="M131" s="7573"/>
      <c r="N131" s="7573"/>
      <c r="O131" s="6687"/>
      <c r="P131" s="7574"/>
      <c r="Q131" s="7575"/>
      <c r="R131" s="7574"/>
      <c r="S131" s="7576"/>
      <c r="T131" s="7577" t="s">
        <v>312</v>
      </c>
      <c r="U131" s="6676"/>
      <c r="V131" s="6676"/>
      <c r="W131" s="6676"/>
      <c r="X131" s="6676"/>
      <c r="Y131" s="6676"/>
      <c r="Z131" s="6676"/>
      <c r="AA131" s="6676"/>
      <c r="AB131" s="6676"/>
      <c r="AC131" s="6676"/>
      <c r="AD131" s="6676"/>
      <c r="AE131" s="6676"/>
      <c r="AF131" s="6676"/>
      <c r="AG131" s="6676"/>
      <c r="AH131" s="6676"/>
      <c r="AI131" s="6676"/>
      <c r="AJ131" s="6676"/>
      <c r="AK131" s="6676"/>
      <c r="AL131" s="6676"/>
      <c r="AM131" s="6676"/>
      <c r="AN131" s="6676"/>
      <c r="AO131" s="6676"/>
      <c r="AP131" s="6676"/>
      <c r="AQ131" s="6676"/>
      <c r="AR131" s="6676"/>
      <c r="AS131" s="6676"/>
      <c r="AT131" s="6676"/>
      <c r="AU131" s="6676"/>
      <c r="AV131" s="6676"/>
      <c r="AW131" s="6676"/>
      <c r="AX131" s="6676"/>
      <c r="AY131" s="6676"/>
      <c r="AZ131" s="6676"/>
      <c r="BA131" s="6676"/>
      <c r="BB131" s="6676"/>
      <c r="BC131" s="6676"/>
      <c r="BD131" s="6676"/>
      <c r="BE131" s="6676"/>
      <c r="BF131" s="6676"/>
      <c r="BG131" s="6687"/>
      <c r="BH131" s="6785"/>
      <c r="BI131" s="6785" t="str">
        <f>IF(T131="","",T131)</f>
        <v>Добавить централизованную систему для дифференциации</v>
      </c>
      <c r="BJ131" s="6785"/>
      <c r="BK131" s="6785"/>
      <c r="BL131" s="6687">
        <v>0</v>
      </c>
    </row>
    <row s="7965" customFormat="1" customHeight="1" ht="23.25">
      <c r="A132" s="6773"/>
      <c r="B132" s="6773" t="s">
        <v>333</v>
      </c>
      <c r="C132" s="6773"/>
      <c r="D132" s="6773"/>
      <c r="E132" s="6774"/>
      <c r="F132" s="6775" t="s">
        <v>92</v>
      </c>
      <c r="G132" s="6773"/>
      <c r="H132" s="6773"/>
      <c r="I132" s="6773"/>
      <c r="J132" s="6773"/>
      <c r="K132" s="6773"/>
      <c r="L132" s="6776"/>
      <c r="M132" s="6777"/>
      <c r="N132" s="6777"/>
      <c r="O132" s="6777"/>
      <c r="P132" s="7314"/>
      <c r="Q132" s="6779"/>
      <c r="R132" s="6780"/>
      <c r="S132" s="6781" t="str">
        <f>INDEX(PT_DIFFERENTIATION_NUM_TER,MATCH(B132,PT_DIFFERENTIATION_TER_ID,0))</f>
        <v>1.6</v>
      </c>
      <c r="T132" s="7315" t="s">
        <v>490</v>
      </c>
      <c r="U132" s="6783"/>
      <c r="V132" s="6593"/>
      <c r="W132" s="6594"/>
      <c r="X132" s="6594"/>
      <c r="Y132" s="6594"/>
      <c r="Z132" s="6594"/>
      <c r="AA132" s="6594"/>
      <c r="AB132" s="6595"/>
      <c r="AC132" s="6593" t="str">
        <f>INDEX(PT_DIFFERENTIATION_TER,MATCH(B132,PT_DIFFERENTIATION_TER_ID,0))</f>
        <v>Территория 6</v>
      </c>
      <c r="AD132" s="6594"/>
      <c r="AE132" s="6594"/>
      <c r="AF132" s="6594"/>
      <c r="AG132" s="6594"/>
      <c r="AH132" s="6594"/>
      <c r="AI132" s="6594"/>
      <c r="AJ132" s="6593"/>
      <c r="AK132" s="6594"/>
      <c r="AL132" s="6594"/>
      <c r="AM132" s="6594"/>
      <c r="AN132" s="6594"/>
      <c r="AO132" s="6594"/>
      <c r="AP132" s="6595"/>
      <c r="AQ132" s="6593"/>
      <c r="AR132" s="6594"/>
      <c r="AS132" s="6594"/>
      <c r="AT132" s="6594"/>
      <c r="AU132" s="6594"/>
      <c r="AV132" s="6594"/>
      <c r="AW132" s="6595"/>
      <c r="AX132" s="6593"/>
      <c r="AY132" s="6594"/>
      <c r="AZ132" s="6594"/>
      <c r="BA132" s="6594"/>
      <c r="BB132" s="6594"/>
      <c r="BC132" s="6594"/>
      <c r="BD132" s="6595"/>
      <c r="BE132" s="6595"/>
      <c r="BF132" s="6784" t="s">
        <v>491</v>
      </c>
      <c r="BG132" s="6687"/>
      <c r="BH132" s="6785"/>
      <c r="BI132" s="6785" t="str">
        <f>IF(T132="","",T132)</f>
        <v>Территория действия тарифа</v>
      </c>
      <c r="BJ132" s="6785"/>
      <c r="BK132" s="6785"/>
      <c r="BL132" s="6591">
        <v>0</v>
      </c>
    </row>
    <row s="7966" customFormat="1" customHeight="1" ht="23.25">
      <c r="A133" s="6773"/>
      <c r="B133" s="6773"/>
      <c r="C133" s="6773" t="s">
        <v>334</v>
      </c>
      <c r="D133" s="6773"/>
      <c r="E133" s="6774"/>
      <c r="F133" s="6774" t="s">
        <v>116</v>
      </c>
      <c r="G133" s="6775">
        <v>1</v>
      </c>
      <c r="H133" s="6773"/>
      <c r="I133" s="6773"/>
      <c r="J133" s="6773"/>
      <c r="K133" s="6773"/>
      <c r="L133" s="6776"/>
      <c r="M133" s="6777"/>
      <c r="N133" s="6777"/>
      <c r="O133" s="6777"/>
      <c r="P133" s="6778"/>
      <c r="Q133" s="6779"/>
      <c r="R133" s="6780"/>
      <c r="S133" s="6781" t="str">
        <f>INDEX(PT_DIFFERENTIATION_NUM_CS,MATCH(C133,PT_DIFFERENTIATION_CS_ID,0))</f>
        <v>1.6.1</v>
      </c>
      <c r="T133" s="6782" t="s">
        <v>606</v>
      </c>
      <c r="U133" s="6783"/>
      <c r="V133" s="6593"/>
      <c r="W133" s="6594"/>
      <c r="X133" s="6594"/>
      <c r="Y133" s="6594"/>
      <c r="Z133" s="6594"/>
      <c r="AA133" s="6594"/>
      <c r="AB133" s="6595"/>
      <c r="AC133" s="6593" t="str">
        <f>INDEX(PT_DIFFERENTIATION_CS,MATCH(C133,PT_DIFFERENTIATION_CS_ID,0))</f>
        <v>пгт. Путятин </v>
      </c>
      <c r="AD133" s="6594"/>
      <c r="AE133" s="6594"/>
      <c r="AF133" s="6594"/>
      <c r="AG133" s="6594"/>
      <c r="AH133" s="6594"/>
      <c r="AI133" s="6594"/>
      <c r="AJ133" s="6593"/>
      <c r="AK133" s="6594"/>
      <c r="AL133" s="6594"/>
      <c r="AM133" s="6594"/>
      <c r="AN133" s="6594"/>
      <c r="AO133" s="6594"/>
      <c r="AP133" s="6595"/>
      <c r="AQ133" s="6593"/>
      <c r="AR133" s="6594"/>
      <c r="AS133" s="6594"/>
      <c r="AT133" s="6594"/>
      <c r="AU133" s="6594"/>
      <c r="AV133" s="6594"/>
      <c r="AW133" s="6595"/>
      <c r="AX133" s="6593"/>
      <c r="AY133" s="6594"/>
      <c r="AZ133" s="6594"/>
      <c r="BA133" s="6594"/>
      <c r="BB133" s="6594"/>
      <c r="BC133" s="6594"/>
      <c r="BD133" s="6595"/>
      <c r="BE133" s="6595"/>
      <c r="BF133" s="6784" t="s">
        <v>607</v>
      </c>
      <c r="BG133" s="6687"/>
      <c r="BH133" s="6785"/>
      <c r="BI133" s="6785" t="str">
        <f>IF(T133="","",T133)</f>
        <v>Наименование централизованной системы водоотведения</v>
      </c>
      <c r="BJ133" s="6785"/>
      <c r="BK133" s="6785"/>
      <c r="BL133" s="6591">
        <v>0</v>
      </c>
    </row>
    <row s="7967" customFormat="1" customHeight="1" ht="23.25">
      <c r="A134" s="6773"/>
      <c r="B134" s="6773"/>
      <c r="C134" s="6773"/>
      <c r="D134" s="6773"/>
      <c r="E134" s="6774"/>
      <c r="F134" s="6774" t="s">
        <v>116</v>
      </c>
      <c r="G134" s="6774"/>
      <c r="H134" s="6774"/>
      <c r="I134" s="6787" t="str">
        <f>S133&amp;".1"</f>
        <v>1.6.1.1</v>
      </c>
      <c r="J134" s="6773"/>
      <c r="K134" s="6773"/>
      <c r="L134" s="6776"/>
      <c r="M134" s="6788"/>
      <c r="N134" s="6788"/>
      <c r="O134" s="6788"/>
      <c r="P134" s="6789">
        <v>1</v>
      </c>
      <c r="Q134" s="6789"/>
      <c r="R134" s="6790"/>
      <c r="S134" s="6781" t="str">
        <f>$I134</f>
        <v>1.6.1.1</v>
      </c>
      <c r="T134" s="6791" t="s">
        <v>573</v>
      </c>
      <c r="U134" s="6783"/>
      <c r="V134" s="6598"/>
      <c r="W134" s="6599"/>
      <c r="X134" s="6599"/>
      <c r="Y134" s="6599"/>
      <c r="Z134" s="6599"/>
      <c r="AA134" s="6599"/>
      <c r="AB134" s="6600"/>
      <c r="AC134" s="6792"/>
      <c r="AD134" s="6793"/>
      <c r="AE134" s="6793"/>
      <c r="AF134" s="6793"/>
      <c r="AG134" s="6793"/>
      <c r="AH134" s="6793"/>
      <c r="AI134" s="6793"/>
      <c r="AJ134" s="6598"/>
      <c r="AK134" s="6599"/>
      <c r="AL134" s="6599"/>
      <c r="AM134" s="6599"/>
      <c r="AN134" s="6599"/>
      <c r="AO134" s="6599"/>
      <c r="AP134" s="6600"/>
      <c r="AQ134" s="6598"/>
      <c r="AR134" s="6599"/>
      <c r="AS134" s="6599"/>
      <c r="AT134" s="6599"/>
      <c r="AU134" s="6599"/>
      <c r="AV134" s="6599"/>
      <c r="AW134" s="6600"/>
      <c r="AX134" s="6598"/>
      <c r="AY134" s="6599"/>
      <c r="AZ134" s="6599"/>
      <c r="BA134" s="6599"/>
      <c r="BB134" s="6599"/>
      <c r="BC134" s="6599"/>
      <c r="BD134" s="6600"/>
      <c r="BE134" s="6794"/>
      <c r="BF134" s="6784" t="s">
        <v>574</v>
      </c>
      <c r="BG134" s="6687"/>
      <c r="BH134" s="6785"/>
      <c r="BI134" s="6785" t="str">
        <f>IF(T134="","",T134)</f>
        <v>Наименование признака дифференциации</v>
      </c>
      <c r="BJ134" s="6785"/>
      <c r="BK134" s="6785"/>
      <c r="BL134" s="6591">
        <v>0</v>
      </c>
    </row>
    <row s="7968" customFormat="1" customHeight="1" ht="23.25">
      <c r="A135" s="6773"/>
      <c r="B135" s="6773"/>
      <c r="C135" s="6773"/>
      <c r="D135" s="6773"/>
      <c r="E135" s="6774"/>
      <c r="F135" s="6774" t="s">
        <v>116</v>
      </c>
      <c r="G135" s="6774"/>
      <c r="H135" s="6774"/>
      <c r="I135" s="6796"/>
      <c r="J135" s="6787" t="str">
        <f>I134&amp;".1"</f>
        <v>1.6.1.1.1</v>
      </c>
      <c r="K135" s="6773"/>
      <c r="L135" s="6776" t="s">
        <v>499</v>
      </c>
      <c r="M135" s="6788"/>
      <c r="N135" s="6788"/>
      <c r="O135" s="6788"/>
      <c r="P135" s="6789"/>
      <c r="Q135" s="6789">
        <v>1</v>
      </c>
      <c r="R135" s="6797"/>
      <c r="S135" s="6781" t="str">
        <f>$J135</f>
        <v>1.6.1.1.1</v>
      </c>
      <c r="T135" s="6798" t="s">
        <v>500</v>
      </c>
      <c r="U135" s="6783"/>
      <c r="V135" s="6601"/>
      <c r="W135" s="6602"/>
      <c r="X135" s="6602"/>
      <c r="Y135" s="6602"/>
      <c r="Z135" s="6602"/>
      <c r="AA135" s="6602"/>
      <c r="AB135" s="6603"/>
      <c r="AC135" s="6601" t="s">
        <v>611</v>
      </c>
      <c r="AD135" s="6602"/>
      <c r="AE135" s="6602"/>
      <c r="AF135" s="6602"/>
      <c r="AG135" s="6602"/>
      <c r="AH135" s="6602"/>
      <c r="AI135" s="6602"/>
      <c r="AJ135" s="6601"/>
      <c r="AK135" s="6602"/>
      <c r="AL135" s="6602"/>
      <c r="AM135" s="6602"/>
      <c r="AN135" s="6602"/>
      <c r="AO135" s="6602"/>
      <c r="AP135" s="6603"/>
      <c r="AQ135" s="6601"/>
      <c r="AR135" s="6602"/>
      <c r="AS135" s="6602"/>
      <c r="AT135" s="6602"/>
      <c r="AU135" s="6602"/>
      <c r="AV135" s="6602"/>
      <c r="AW135" s="6603"/>
      <c r="AX135" s="6601"/>
      <c r="AY135" s="6602"/>
      <c r="AZ135" s="6602"/>
      <c r="BA135" s="6602"/>
      <c r="BB135" s="6602"/>
      <c r="BC135" s="6602"/>
      <c r="BD135" s="6603"/>
      <c r="BE135" s="6603"/>
      <c r="BF135" s="6799" t="s">
        <v>575</v>
      </c>
      <c r="BG135" s="6687"/>
      <c r="BH135" s="6785"/>
      <c r="BI135" s="6785" t="str">
        <f>IF(T135="","",T135)</f>
        <v>Группа потребителей</v>
      </c>
      <c r="BJ135" s="6785"/>
      <c r="BK135" s="6785"/>
      <c r="BL135" s="6591">
        <v>0</v>
      </c>
    </row>
    <row s="7969" customFormat="1" customHeight="1" ht="23.25">
      <c r="A136" s="6773"/>
      <c r="B136" s="6773"/>
      <c r="C136" s="6773"/>
      <c r="D136" s="6773"/>
      <c r="E136" s="6774"/>
      <c r="F136" s="6774" t="s">
        <v>116</v>
      </c>
      <c r="G136" s="6774"/>
      <c r="H136" s="6774"/>
      <c r="I136" s="6796"/>
      <c r="J136" s="6796"/>
      <c r="K136" s="6787" t="str">
        <f>J135&amp;".1"</f>
        <v>1.6.1.1.1.1</v>
      </c>
      <c r="L136" s="6776"/>
      <c r="M136" s="6788"/>
      <c r="N136" s="6788"/>
      <c r="O136" s="6788"/>
      <c r="P136" s="6789"/>
      <c r="Q136" s="6789"/>
      <c r="R136" s="6797">
        <v>1</v>
      </c>
      <c r="S136" s="6781" t="str">
        <f>$K136</f>
        <v>1.6.1.1.1.1</v>
      </c>
      <c r="T136" s="6801" t="s">
        <v>569</v>
      </c>
      <c r="U136" s="6783"/>
      <c r="V136" s="6604"/>
      <c r="W136" s="6604"/>
      <c r="X136" s="6605"/>
      <c r="Y136" s="6606"/>
      <c r="Z136" s="6607" t="s">
        <v>66</v>
      </c>
      <c r="AA136" s="6606"/>
      <c r="AB136" s="6607" t="s">
        <v>66</v>
      </c>
      <c r="AC136" s="6604">
        <v>35.96</v>
      </c>
      <c r="AD136" s="6604"/>
      <c r="AE136" s="6605"/>
      <c r="AF136" s="6606">
        <v>45658.61483796296</v>
      </c>
      <c r="AG136" s="6607" t="s">
        <v>66</v>
      </c>
      <c r="AH136" s="6707">
        <v>46022.61493055556</v>
      </c>
      <c r="AI136" s="6607" t="s">
        <v>66</v>
      </c>
      <c r="AJ136" s="6604">
        <v>33.25</v>
      </c>
      <c r="AK136" s="6604"/>
      <c r="AL136" s="6605"/>
      <c r="AM136" s="6606">
        <v>46023.63244212963</v>
      </c>
      <c r="AN136" s="6607" t="s">
        <v>66</v>
      </c>
      <c r="AO136" s="6606">
        <v>46387.6325462963</v>
      </c>
      <c r="AP136" s="6607" t="s">
        <v>66</v>
      </c>
      <c r="AQ136" s="6604">
        <v>34.23</v>
      </c>
      <c r="AR136" s="6604"/>
      <c r="AS136" s="6605"/>
      <c r="AT136" s="6606">
        <v>46388.63267361111</v>
      </c>
      <c r="AU136" s="6607" t="s">
        <v>66</v>
      </c>
      <c r="AV136" s="6606">
        <v>46752.63291666667</v>
      </c>
      <c r="AW136" s="6607" t="s">
        <v>66</v>
      </c>
      <c r="AX136" s="6604">
        <v>35.24</v>
      </c>
      <c r="AY136" s="6604"/>
      <c r="AZ136" s="6605"/>
      <c r="BA136" s="6606">
        <v>46753.633055555554</v>
      </c>
      <c r="BB136" s="6607" t="s">
        <v>66</v>
      </c>
      <c r="BC136" s="6606">
        <v>47118.63317129629</v>
      </c>
      <c r="BD136" s="6607" t="s">
        <v>66</v>
      </c>
      <c r="BE136" s="6802"/>
      <c r="BF136" s="68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136" s="6687">
        <f>STRCHECKDATE(V137:BE137)</f>
      </c>
      <c r="BH136" s="6785"/>
      <c r="BI136" s="6785" t="str">
        <f>IF(T136="","",T136)</f>
        <v>без НДС</v>
      </c>
      <c r="BJ136" s="6785"/>
      <c r="BK136" s="6785"/>
      <c r="BL136" s="6591">
        <v>0</v>
      </c>
    </row>
    <row s="7970" customFormat="1" customHeight="1" ht="14.25">
      <c r="A137" s="6773"/>
      <c r="B137" s="6773"/>
      <c r="C137" s="6773"/>
      <c r="D137" s="6773"/>
      <c r="E137" s="6774"/>
      <c r="F137" s="6774" t="s">
        <v>116</v>
      </c>
      <c r="G137" s="6774"/>
      <c r="H137" s="6774"/>
      <c r="I137" s="6796"/>
      <c r="J137" s="6796"/>
      <c r="K137" s="6787"/>
      <c r="L137" s="6776"/>
      <c r="M137" s="6788"/>
      <c r="N137" s="6788"/>
      <c r="O137" s="6788"/>
      <c r="P137" s="6789"/>
      <c r="Q137" s="6789"/>
      <c r="R137" s="6797"/>
      <c r="S137" s="6805"/>
      <c r="T137" s="6783"/>
      <c r="U137" s="6783"/>
      <c r="V137" s="6609"/>
      <c r="W137" s="6609"/>
      <c r="X137" s="6610" t="str">
        <f>Y136&amp;"-"&amp;AA136</f>
        <v>-</v>
      </c>
      <c r="Y137" s="6611"/>
      <c r="Z137" s="6607"/>
      <c r="AA137" s="6611"/>
      <c r="AB137" s="6607"/>
      <c r="AC137" s="6609"/>
      <c r="AD137" s="6609"/>
      <c r="AE137" s="6610" t="str">
        <f>AF136&amp;"-"&amp;AH136</f>
        <v>45658.61483796296-46022.61493055556</v>
      </c>
      <c r="AF137" s="6611"/>
      <c r="AG137" s="6607"/>
      <c r="AH137" s="6708"/>
      <c r="AI137" s="6607"/>
      <c r="AJ137" s="6609"/>
      <c r="AK137" s="6609"/>
      <c r="AL137" s="6610" t="str">
        <f>AM136&amp;"-"&amp;AO136</f>
        <v>46023.63244212963-46387.6325462963</v>
      </c>
      <c r="AM137" s="6611"/>
      <c r="AN137" s="6607"/>
      <c r="AO137" s="6611"/>
      <c r="AP137" s="6607"/>
      <c r="AQ137" s="6609"/>
      <c r="AR137" s="6609"/>
      <c r="AS137" s="6610" t="str">
        <f>AT136&amp;"-"&amp;AV136</f>
        <v>46388.63267361111-46752.63291666667</v>
      </c>
      <c r="AT137" s="6611"/>
      <c r="AU137" s="6607"/>
      <c r="AV137" s="6611"/>
      <c r="AW137" s="6607"/>
      <c r="AX137" s="6609"/>
      <c r="AY137" s="6609"/>
      <c r="AZ137" s="6610" t="str">
        <f>BA136&amp;"-"&amp;BC136</f>
        <v>46753.633055555554-47118.63317129629</v>
      </c>
      <c r="BA137" s="6611"/>
      <c r="BB137" s="6607"/>
      <c r="BC137" s="6611"/>
      <c r="BD137" s="6607"/>
      <c r="BE137" s="6806"/>
      <c r="BF137" s="6803"/>
      <c r="BG137" s="6687"/>
      <c r="BH137" s="6785"/>
      <c r="BI137" s="6785" t="str">
        <f>IF(T137="","",T137)</f>
        <v/>
      </c>
      <c r="BJ137" s="6785"/>
      <c r="BK137" s="6785"/>
      <c r="BL137" s="6591">
        <v>0</v>
      </c>
    </row>
    <row s="7971" customFormat="1" customHeight="1" ht="21">
      <c r="A138" s="6773"/>
      <c r="B138" s="6773"/>
      <c r="C138" s="6773"/>
      <c r="D138" s="6773"/>
      <c r="E138" s="6774"/>
      <c r="F138" s="6774" t="s">
        <v>116</v>
      </c>
      <c r="G138" s="6774"/>
      <c r="H138" s="6774"/>
      <c r="I138" s="6796"/>
      <c r="J138" s="6787"/>
      <c r="K138" s="6773"/>
      <c r="L138" s="6776"/>
      <c r="M138" s="6788"/>
      <c r="N138" s="6788"/>
      <c r="O138" s="6788"/>
      <c r="P138" s="6789"/>
      <c r="Q138" s="6789"/>
      <c r="R138" s="6790"/>
      <c r="S138" s="7972"/>
      <c r="T138" s="7973" t="s">
        <v>576</v>
      </c>
      <c r="U138" s="7974"/>
      <c r="V138" s="7975"/>
      <c r="W138" s="7976"/>
      <c r="X138" s="7977"/>
      <c r="Y138" s="7978"/>
      <c r="Z138" s="7979"/>
      <c r="AA138" s="7980"/>
      <c r="AB138" s="7981"/>
      <c r="AC138" s="7982"/>
      <c r="AD138" s="7983"/>
      <c r="AE138" s="7984"/>
      <c r="AF138" s="7985"/>
      <c r="AG138" s="7986"/>
      <c r="AH138" s="7987"/>
      <c r="AI138" s="7988"/>
      <c r="AJ138" s="7989"/>
      <c r="AK138" s="7990"/>
      <c r="AL138" s="7991"/>
      <c r="AM138" s="7992"/>
      <c r="AN138" s="7993"/>
      <c r="AO138" s="7994"/>
      <c r="AP138" s="7995"/>
      <c r="AQ138" s="7996"/>
      <c r="AR138" s="7997"/>
      <c r="AS138" s="7998"/>
      <c r="AT138" s="7999"/>
      <c r="AU138" s="8000"/>
      <c r="AV138" s="8001"/>
      <c r="AW138" s="8002"/>
      <c r="AX138" s="8003"/>
      <c r="AY138" s="8004"/>
      <c r="AZ138" s="8005"/>
      <c r="BA138" s="8006"/>
      <c r="BB138" s="8007"/>
      <c r="BC138" s="8008"/>
      <c r="BD138" s="8009"/>
      <c r="BE138" s="8010"/>
      <c r="BF138" s="6784" t="s">
        <v>577</v>
      </c>
      <c r="BG138" s="6687"/>
      <c r="BH138" s="6785"/>
      <c r="BI138" s="6785" t="str">
        <f>IF(T138="","",T138)</f>
        <v>Добавить значение признака дифференциации</v>
      </c>
      <c r="BJ138" s="6785"/>
      <c r="BK138" s="6785"/>
      <c r="BL138" s="6591">
        <v>0</v>
      </c>
    </row>
    <row s="8011" customFormat="1" customHeight="1" ht="21">
      <c r="A139" s="6773"/>
      <c r="B139" s="6773"/>
      <c r="C139" s="6773"/>
      <c r="D139" s="6773"/>
      <c r="E139" s="6774"/>
      <c r="F139" s="6774" t="s">
        <v>116</v>
      </c>
      <c r="G139" s="6774"/>
      <c r="H139" s="6774"/>
      <c r="I139" s="6787"/>
      <c r="J139" s="6773"/>
      <c r="K139" s="6773"/>
      <c r="L139" s="6776"/>
      <c r="M139" s="6788"/>
      <c r="N139" s="6788"/>
      <c r="O139" s="6788"/>
      <c r="P139" s="6789"/>
      <c r="Q139" s="6789"/>
      <c r="R139" s="6790"/>
      <c r="S139" s="8012"/>
      <c r="T139" s="8013" t="s">
        <v>505</v>
      </c>
      <c r="U139" s="8014"/>
      <c r="V139" s="8015"/>
      <c r="W139" s="8016"/>
      <c r="X139" s="8017"/>
      <c r="Y139" s="8018"/>
      <c r="Z139" s="8019"/>
      <c r="AA139" s="8020"/>
      <c r="AB139" s="8021"/>
      <c r="AC139" s="8022"/>
      <c r="AD139" s="8023"/>
      <c r="AE139" s="8024"/>
      <c r="AF139" s="8025"/>
      <c r="AG139" s="8026"/>
      <c r="AH139" s="8027"/>
      <c r="AI139" s="8028"/>
      <c r="AJ139" s="8029"/>
      <c r="AK139" s="8030"/>
      <c r="AL139" s="8031"/>
      <c r="AM139" s="8032"/>
      <c r="AN139" s="8033"/>
      <c r="AO139" s="8034"/>
      <c r="AP139" s="8035"/>
      <c r="AQ139" s="8036"/>
      <c r="AR139" s="8037"/>
      <c r="AS139" s="8038"/>
      <c r="AT139" s="8039"/>
      <c r="AU139" s="8040"/>
      <c r="AV139" s="8041"/>
      <c r="AW139" s="8042"/>
      <c r="AX139" s="8043"/>
      <c r="AY139" s="8044"/>
      <c r="AZ139" s="8045"/>
      <c r="BA139" s="8046"/>
      <c r="BB139" s="8047"/>
      <c r="BC139" s="8048"/>
      <c r="BD139" s="8049"/>
      <c r="BE139" s="8050"/>
      <c r="BF139" s="8051"/>
      <c r="BG139" s="6687"/>
      <c r="BH139" s="6785"/>
      <c r="BI139" s="6785" t="str">
        <f>IF(T139="","",T139)</f>
        <v>Добавить группу потребителей</v>
      </c>
      <c r="BJ139" s="6785"/>
      <c r="BK139" s="6785"/>
      <c r="BL139" s="6591">
        <v>0</v>
      </c>
    </row>
    <row s="8052" customFormat="1" customHeight="1" ht="21">
      <c r="A140" s="6773"/>
      <c r="B140" s="6773"/>
      <c r="C140" s="6773"/>
      <c r="D140" s="6773"/>
      <c r="E140" s="6774"/>
      <c r="F140" s="6774" t="s">
        <v>116</v>
      </c>
      <c r="G140" s="6774"/>
      <c r="H140" s="6775"/>
      <c r="I140" s="6773"/>
      <c r="J140" s="6773"/>
      <c r="K140" s="6773"/>
      <c r="L140" s="6776"/>
      <c r="M140" s="6777"/>
      <c r="N140" s="6777"/>
      <c r="O140" s="6678"/>
      <c r="P140" s="6889"/>
      <c r="Q140" s="6890"/>
      <c r="R140" s="6891"/>
      <c r="S140" s="8053"/>
      <c r="T140" s="8054" t="s">
        <v>578</v>
      </c>
      <c r="U140" s="8055"/>
      <c r="V140" s="8056"/>
      <c r="W140" s="8057"/>
      <c r="X140" s="8058"/>
      <c r="Y140" s="8059"/>
      <c r="Z140" s="8060"/>
      <c r="AA140" s="8061"/>
      <c r="AB140" s="8062"/>
      <c r="AC140" s="8063"/>
      <c r="AD140" s="8064"/>
      <c r="AE140" s="8065"/>
      <c r="AF140" s="8066"/>
      <c r="AG140" s="8067"/>
      <c r="AH140" s="8068"/>
      <c r="AI140" s="8069"/>
      <c r="AJ140" s="8070"/>
      <c r="AK140" s="8071"/>
      <c r="AL140" s="8072"/>
      <c r="AM140" s="8073"/>
      <c r="AN140" s="8074"/>
      <c r="AO140" s="8075"/>
      <c r="AP140" s="8076"/>
      <c r="AQ140" s="8077"/>
      <c r="AR140" s="8078"/>
      <c r="AS140" s="8079"/>
      <c r="AT140" s="8080"/>
      <c r="AU140" s="8081"/>
      <c r="AV140" s="8082"/>
      <c r="AW140" s="8083"/>
      <c r="AX140" s="8084"/>
      <c r="AY140" s="8085"/>
      <c r="AZ140" s="8086"/>
      <c r="BA140" s="8087"/>
      <c r="BB140" s="8088"/>
      <c r="BC140" s="8089"/>
      <c r="BD140" s="8090"/>
      <c r="BE140" s="8091"/>
      <c r="BF140" s="8092"/>
      <c r="BG140" s="6687"/>
      <c r="BH140" s="6785"/>
      <c r="BI140" s="6785" t="str">
        <f>IF(T140="","",T140)</f>
        <v>Добавить наименование признака дифференциации</v>
      </c>
      <c r="BJ140" s="6785"/>
      <c r="BK140" s="6785"/>
      <c r="BL140" s="6591">
        <v>0</v>
      </c>
    </row>
    <row s="8093" customFormat="1" customHeight="1" ht="23.25">
      <c r="A141" s="6773"/>
      <c r="B141" s="6773"/>
      <c r="C141" s="6773" t="s">
        <v>337</v>
      </c>
      <c r="D141" s="6773"/>
      <c r="E141" s="6774"/>
      <c r="F141" s="6774"/>
      <c r="G141" s="6775" t="s">
        <v>103</v>
      </c>
      <c r="H141" s="6773"/>
      <c r="I141" s="6773"/>
      <c r="J141" s="6773"/>
      <c r="K141" s="6773"/>
      <c r="L141" s="6776"/>
      <c r="M141" s="6777"/>
      <c r="N141" s="6777"/>
      <c r="O141" s="6777"/>
      <c r="P141" s="6778"/>
      <c r="Q141" s="6779"/>
      <c r="R141" s="6780"/>
      <c r="S141" s="6781" t="str">
        <f>INDEX(PT_DIFFERENTIATION_NUM_CS,MATCH(C141,PT_DIFFERENTIATION_CS_ID,0))</f>
        <v>1.6.2</v>
      </c>
      <c r="T141" s="6782" t="s">
        <v>606</v>
      </c>
      <c r="U141" s="6783"/>
      <c r="V141" s="6593"/>
      <c r="W141" s="6594"/>
      <c r="X141" s="6594"/>
      <c r="Y141" s="6594"/>
      <c r="Z141" s="6594"/>
      <c r="AA141" s="6594"/>
      <c r="AB141" s="6595"/>
      <c r="AC141" s="6593" t="str">
        <f>INDEX(PT_DIFFERENTIATION_CS,MATCH(C141,PT_DIFFERENTIATION_CS_ID,0))</f>
        <v>ЗАТО Фокино</v>
      </c>
      <c r="AD141" s="6594"/>
      <c r="AE141" s="6594"/>
      <c r="AF141" s="6594"/>
      <c r="AG141" s="6594"/>
      <c r="AH141" s="6594"/>
      <c r="AI141" s="6594"/>
      <c r="AJ141" s="6593"/>
      <c r="AK141" s="6594"/>
      <c r="AL141" s="6594"/>
      <c r="AM141" s="6594"/>
      <c r="AN141" s="6594"/>
      <c r="AO141" s="6594"/>
      <c r="AP141" s="6595"/>
      <c r="AQ141" s="6593"/>
      <c r="AR141" s="6594"/>
      <c r="AS141" s="6594"/>
      <c r="AT141" s="6594"/>
      <c r="AU141" s="6594"/>
      <c r="AV141" s="6594"/>
      <c r="AW141" s="6595"/>
      <c r="AX141" s="6593"/>
      <c r="AY141" s="6594"/>
      <c r="AZ141" s="6594"/>
      <c r="BA141" s="6594"/>
      <c r="BB141" s="6594"/>
      <c r="BC141" s="6594"/>
      <c r="BD141" s="6595"/>
      <c r="BE141" s="6595"/>
      <c r="BF141" s="6784" t="s">
        <v>607</v>
      </c>
      <c r="BG141" s="6687"/>
      <c r="BH141" s="6785"/>
      <c r="BI141" s="6785" t="str">
        <f>IF(T141="","",T141)</f>
        <v>Наименование централизованной системы водоотведения</v>
      </c>
      <c r="BJ141" s="6785"/>
      <c r="BK141" s="6785"/>
      <c r="BL141" s="6591">
        <v>0</v>
      </c>
    </row>
    <row s="8094" customFormat="1" customHeight="1" ht="23.25">
      <c r="A142" s="6773"/>
      <c r="B142" s="6773"/>
      <c r="C142" s="6773"/>
      <c r="D142" s="6773"/>
      <c r="E142" s="6774"/>
      <c r="F142" s="6774"/>
      <c r="G142" s="6774">
        <v>1</v>
      </c>
      <c r="H142" s="6774"/>
      <c r="I142" s="6787" t="str">
        <f>S141&amp;".1"</f>
        <v>1.6.2.1</v>
      </c>
      <c r="J142" s="6773"/>
      <c r="K142" s="6773"/>
      <c r="L142" s="6776"/>
      <c r="M142" s="6788"/>
      <c r="N142" s="6788"/>
      <c r="O142" s="6788"/>
      <c r="P142" s="6789">
        <v>1</v>
      </c>
      <c r="Q142" s="6789"/>
      <c r="R142" s="6790"/>
      <c r="S142" s="6781" t="str">
        <f>$I142</f>
        <v>1.6.2.1</v>
      </c>
      <c r="T142" s="6791" t="s">
        <v>573</v>
      </c>
      <c r="U142" s="6783"/>
      <c r="V142" s="6598"/>
      <c r="W142" s="6599"/>
      <c r="X142" s="6599"/>
      <c r="Y142" s="6599"/>
      <c r="Z142" s="6599"/>
      <c r="AA142" s="6599"/>
      <c r="AB142" s="6600"/>
      <c r="AC142" s="6792"/>
      <c r="AD142" s="6793"/>
      <c r="AE142" s="6793"/>
      <c r="AF142" s="6793"/>
      <c r="AG142" s="6793"/>
      <c r="AH142" s="6793"/>
      <c r="AI142" s="6793"/>
      <c r="AJ142" s="6598"/>
      <c r="AK142" s="6599"/>
      <c r="AL142" s="6599"/>
      <c r="AM142" s="6599"/>
      <c r="AN142" s="6599"/>
      <c r="AO142" s="6599"/>
      <c r="AP142" s="6600"/>
      <c r="AQ142" s="6598"/>
      <c r="AR142" s="6599"/>
      <c r="AS142" s="6599"/>
      <c r="AT142" s="6599"/>
      <c r="AU142" s="6599"/>
      <c r="AV142" s="6599"/>
      <c r="AW142" s="6600"/>
      <c r="AX142" s="6598"/>
      <c r="AY142" s="6599"/>
      <c r="AZ142" s="6599"/>
      <c r="BA142" s="6599"/>
      <c r="BB142" s="6599"/>
      <c r="BC142" s="6599"/>
      <c r="BD142" s="6600"/>
      <c r="BE142" s="6794"/>
      <c r="BF142" s="6784" t="s">
        <v>574</v>
      </c>
      <c r="BG142" s="6687"/>
      <c r="BH142" s="6785"/>
      <c r="BI142" s="6785" t="str">
        <f>IF(T142="","",T142)</f>
        <v>Наименование признака дифференциации</v>
      </c>
      <c r="BJ142" s="6785"/>
      <c r="BK142" s="6785"/>
      <c r="BL142" s="6591">
        <v>0</v>
      </c>
    </row>
    <row s="8095" customFormat="1" customHeight="1" ht="23.25">
      <c r="A143" s="6773"/>
      <c r="B143" s="6773"/>
      <c r="C143" s="6773"/>
      <c r="D143" s="6773"/>
      <c r="E143" s="6774"/>
      <c r="F143" s="6774"/>
      <c r="G143" s="6774">
        <v>1</v>
      </c>
      <c r="H143" s="6774"/>
      <c r="I143" s="6796"/>
      <c r="J143" s="6787" t="str">
        <f>I142&amp;".1"</f>
        <v>1.6.2.1.1</v>
      </c>
      <c r="K143" s="6773"/>
      <c r="L143" s="6776" t="s">
        <v>499</v>
      </c>
      <c r="M143" s="6788"/>
      <c r="N143" s="6788"/>
      <c r="O143" s="6788"/>
      <c r="P143" s="6789"/>
      <c r="Q143" s="6789">
        <v>1</v>
      </c>
      <c r="R143" s="6797"/>
      <c r="S143" s="6781" t="str">
        <f>$J143</f>
        <v>1.6.2.1.1</v>
      </c>
      <c r="T143" s="6798" t="s">
        <v>500</v>
      </c>
      <c r="U143" s="6783"/>
      <c r="V143" s="6601"/>
      <c r="W143" s="6602"/>
      <c r="X143" s="6602"/>
      <c r="Y143" s="6602"/>
      <c r="Z143" s="6602"/>
      <c r="AA143" s="6602"/>
      <c r="AB143" s="6603"/>
      <c r="AC143" s="6601" t="s">
        <v>611</v>
      </c>
      <c r="AD143" s="6602"/>
      <c r="AE143" s="6602"/>
      <c r="AF143" s="6602"/>
      <c r="AG143" s="6602"/>
      <c r="AH143" s="6602"/>
      <c r="AI143" s="6602"/>
      <c r="AJ143" s="6601"/>
      <c r="AK143" s="6602"/>
      <c r="AL143" s="6602"/>
      <c r="AM143" s="6602"/>
      <c r="AN143" s="6602"/>
      <c r="AO143" s="6602"/>
      <c r="AP143" s="6603"/>
      <c r="AQ143" s="6601"/>
      <c r="AR143" s="6602"/>
      <c r="AS143" s="6602"/>
      <c r="AT143" s="6602"/>
      <c r="AU143" s="6602"/>
      <c r="AV143" s="6602"/>
      <c r="AW143" s="6603"/>
      <c r="AX143" s="6601"/>
      <c r="AY143" s="6602"/>
      <c r="AZ143" s="6602"/>
      <c r="BA143" s="6602"/>
      <c r="BB143" s="6602"/>
      <c r="BC143" s="6602"/>
      <c r="BD143" s="6603"/>
      <c r="BE143" s="6603"/>
      <c r="BF143" s="6799" t="s">
        <v>575</v>
      </c>
      <c r="BG143" s="6687"/>
      <c r="BH143" s="6785"/>
      <c r="BI143" s="6785" t="str">
        <f>IF(T143="","",T143)</f>
        <v>Группа потребителей</v>
      </c>
      <c r="BJ143" s="6785"/>
      <c r="BK143" s="6785"/>
      <c r="BL143" s="6591">
        <v>0</v>
      </c>
    </row>
    <row s="8096" customFormat="1" customHeight="1" ht="23.25">
      <c r="A144" s="6773"/>
      <c r="B144" s="6773"/>
      <c r="C144" s="6773"/>
      <c r="D144" s="6773"/>
      <c r="E144" s="6774"/>
      <c r="F144" s="6774"/>
      <c r="G144" s="6774">
        <v>1</v>
      </c>
      <c r="H144" s="6774"/>
      <c r="I144" s="6796"/>
      <c r="J144" s="6796"/>
      <c r="K144" s="6787" t="str">
        <f>J143&amp;".1"</f>
        <v>1.6.2.1.1.1</v>
      </c>
      <c r="L144" s="6776"/>
      <c r="M144" s="6788"/>
      <c r="N144" s="6788"/>
      <c r="O144" s="6788"/>
      <c r="P144" s="6789"/>
      <c r="Q144" s="6789"/>
      <c r="R144" s="6797">
        <v>1</v>
      </c>
      <c r="S144" s="6781" t="str">
        <f>$K144</f>
        <v>1.6.2.1.1.1</v>
      </c>
      <c r="T144" s="6801" t="s">
        <v>569</v>
      </c>
      <c r="U144" s="6783"/>
      <c r="V144" s="6604"/>
      <c r="W144" s="6604"/>
      <c r="X144" s="6605"/>
      <c r="Y144" s="6606"/>
      <c r="Z144" s="6607" t="s">
        <v>66</v>
      </c>
      <c r="AA144" s="6606"/>
      <c r="AB144" s="6607" t="s">
        <v>66</v>
      </c>
      <c r="AC144" s="6604">
        <v>32.24</v>
      </c>
      <c r="AD144" s="6604"/>
      <c r="AE144" s="6605"/>
      <c r="AF144" s="6606">
        <v>45658.61518518518</v>
      </c>
      <c r="AG144" s="6607" t="s">
        <v>66</v>
      </c>
      <c r="AH144" s="6707">
        <v>46022.6153125</v>
      </c>
      <c r="AI144" s="6607" t="s">
        <v>66</v>
      </c>
      <c r="AJ144" s="6604">
        <v>30.64</v>
      </c>
      <c r="AK144" s="6604"/>
      <c r="AL144" s="6605"/>
      <c r="AM144" s="6606">
        <v>46023.632314814815</v>
      </c>
      <c r="AN144" s="6607" t="s">
        <v>66</v>
      </c>
      <c r="AO144" s="6606">
        <v>46387.63216435185</v>
      </c>
      <c r="AP144" s="6607" t="s">
        <v>66</v>
      </c>
      <c r="AQ144" s="6604">
        <v>31.49</v>
      </c>
      <c r="AR144" s="6604"/>
      <c r="AS144" s="6605"/>
      <c r="AT144" s="6606">
        <v>46388.63199074074</v>
      </c>
      <c r="AU144" s="6607" t="s">
        <v>66</v>
      </c>
      <c r="AV144" s="6606">
        <v>46752.63182870371</v>
      </c>
      <c r="AW144" s="6607" t="s">
        <v>66</v>
      </c>
      <c r="AX144" s="6604">
        <v>32.36</v>
      </c>
      <c r="AY144" s="6604"/>
      <c r="AZ144" s="6605"/>
      <c r="BA144" s="6606">
        <v>46753.63107638889</v>
      </c>
      <c r="BB144" s="6607" t="s">
        <v>66</v>
      </c>
      <c r="BC144" s="6606">
        <v>47118.630844907406</v>
      </c>
      <c r="BD144" s="6607" t="s">
        <v>66</v>
      </c>
      <c r="BE144" s="6802"/>
      <c r="BF144" s="68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144" s="6687">
        <f>STRCHECKDATE(V145:BE145)</f>
      </c>
      <c r="BH144" s="6785"/>
      <c r="BI144" s="6785" t="str">
        <f>IF(T144="","",T144)</f>
        <v>без НДС</v>
      </c>
      <c r="BJ144" s="6785"/>
      <c r="BK144" s="6785"/>
      <c r="BL144" s="6591">
        <v>0</v>
      </c>
    </row>
    <row s="8097" customFormat="1" customHeight="1" ht="14.25">
      <c r="A145" s="6773"/>
      <c r="B145" s="6773"/>
      <c r="C145" s="6773"/>
      <c r="D145" s="6773"/>
      <c r="E145" s="6774"/>
      <c r="F145" s="6774"/>
      <c r="G145" s="6774">
        <v>1</v>
      </c>
      <c r="H145" s="6774"/>
      <c r="I145" s="6796"/>
      <c r="J145" s="6796"/>
      <c r="K145" s="6787"/>
      <c r="L145" s="6776"/>
      <c r="M145" s="6788"/>
      <c r="N145" s="6788"/>
      <c r="O145" s="6788"/>
      <c r="P145" s="6789"/>
      <c r="Q145" s="6789"/>
      <c r="R145" s="6797"/>
      <c r="S145" s="6805"/>
      <c r="T145" s="6783"/>
      <c r="U145" s="6783"/>
      <c r="V145" s="6609"/>
      <c r="W145" s="6609"/>
      <c r="X145" s="6610" t="str">
        <f>Y144&amp;"-"&amp;AA144</f>
        <v>-</v>
      </c>
      <c r="Y145" s="6611"/>
      <c r="Z145" s="6607"/>
      <c r="AA145" s="6611"/>
      <c r="AB145" s="6607"/>
      <c r="AC145" s="6609"/>
      <c r="AD145" s="6609"/>
      <c r="AE145" s="6610" t="str">
        <f>AF144&amp;"-"&amp;AH144</f>
        <v>45658.61518518518-46022.6153125</v>
      </c>
      <c r="AF145" s="6611"/>
      <c r="AG145" s="6607"/>
      <c r="AH145" s="6708"/>
      <c r="AI145" s="6607"/>
      <c r="AJ145" s="6609"/>
      <c r="AK145" s="6609"/>
      <c r="AL145" s="6610" t="str">
        <f>AM144&amp;"-"&amp;AO144</f>
        <v>46023.632314814815-46387.63216435185</v>
      </c>
      <c r="AM145" s="6611"/>
      <c r="AN145" s="6607"/>
      <c r="AO145" s="6611"/>
      <c r="AP145" s="6607"/>
      <c r="AQ145" s="6609"/>
      <c r="AR145" s="6609"/>
      <c r="AS145" s="6610" t="str">
        <f>AT144&amp;"-"&amp;AV144</f>
        <v>46388.63199074074-46752.63182870371</v>
      </c>
      <c r="AT145" s="6611"/>
      <c r="AU145" s="6607"/>
      <c r="AV145" s="6611"/>
      <c r="AW145" s="6607"/>
      <c r="AX145" s="6609"/>
      <c r="AY145" s="6609"/>
      <c r="AZ145" s="6610" t="str">
        <f>BA144&amp;"-"&amp;BC144</f>
        <v>46753.63107638889-47118.630844907406</v>
      </c>
      <c r="BA145" s="6611"/>
      <c r="BB145" s="6607"/>
      <c r="BC145" s="6611"/>
      <c r="BD145" s="6607"/>
      <c r="BE145" s="6806"/>
      <c r="BF145" s="6803"/>
      <c r="BG145" s="6687"/>
      <c r="BH145" s="6785"/>
      <c r="BI145" s="6785" t="str">
        <f>IF(T145="","",T145)</f>
        <v/>
      </c>
      <c r="BJ145" s="6785"/>
      <c r="BK145" s="6785"/>
      <c r="BL145" s="6591">
        <v>0</v>
      </c>
    </row>
    <row s="8098" customFormat="1" customHeight="1" ht="21">
      <c r="A146" s="6773"/>
      <c r="B146" s="6773"/>
      <c r="C146" s="6773"/>
      <c r="D146" s="6773"/>
      <c r="E146" s="6774"/>
      <c r="F146" s="6774"/>
      <c r="G146" s="6774">
        <v>1</v>
      </c>
      <c r="H146" s="6774"/>
      <c r="I146" s="6796"/>
      <c r="J146" s="6787"/>
      <c r="K146" s="6773"/>
      <c r="L146" s="6776"/>
      <c r="M146" s="6788"/>
      <c r="N146" s="6788"/>
      <c r="O146" s="6788"/>
      <c r="P146" s="6789"/>
      <c r="Q146" s="6789"/>
      <c r="R146" s="6790"/>
      <c r="S146" s="8099"/>
      <c r="T146" s="8100" t="s">
        <v>576</v>
      </c>
      <c r="U146" s="8101"/>
      <c r="V146" s="8102"/>
      <c r="W146" s="8103"/>
      <c r="X146" s="8104"/>
      <c r="Y146" s="8105"/>
      <c r="Z146" s="8106"/>
      <c r="AA146" s="8107"/>
      <c r="AB146" s="8108"/>
      <c r="AC146" s="8109"/>
      <c r="AD146" s="8110"/>
      <c r="AE146" s="8111"/>
      <c r="AF146" s="8112"/>
      <c r="AG146" s="8113"/>
      <c r="AH146" s="8114"/>
      <c r="AI146" s="8115"/>
      <c r="AJ146" s="8116"/>
      <c r="AK146" s="8117"/>
      <c r="AL146" s="8118"/>
      <c r="AM146" s="8119"/>
      <c r="AN146" s="8120"/>
      <c r="AO146" s="8121"/>
      <c r="AP146" s="8122"/>
      <c r="AQ146" s="8123"/>
      <c r="AR146" s="8124"/>
      <c r="AS146" s="8125"/>
      <c r="AT146" s="8126"/>
      <c r="AU146" s="8127"/>
      <c r="AV146" s="8128"/>
      <c r="AW146" s="8129"/>
      <c r="AX146" s="8130"/>
      <c r="AY146" s="8131"/>
      <c r="AZ146" s="8132"/>
      <c r="BA146" s="8133"/>
      <c r="BB146" s="8134"/>
      <c r="BC146" s="8135"/>
      <c r="BD146" s="8136"/>
      <c r="BE146" s="8137"/>
      <c r="BF146" s="6784" t="s">
        <v>577</v>
      </c>
      <c r="BG146" s="6687"/>
      <c r="BH146" s="6785"/>
      <c r="BI146" s="6785" t="str">
        <f>IF(T146="","",T146)</f>
        <v>Добавить значение признака дифференциации</v>
      </c>
      <c r="BJ146" s="6785"/>
      <c r="BK146" s="6785"/>
      <c r="BL146" s="6591">
        <v>0</v>
      </c>
    </row>
    <row s="8138" customFormat="1" customHeight="1" ht="21">
      <c r="A147" s="6773"/>
      <c r="B147" s="6773"/>
      <c r="C147" s="6773"/>
      <c r="D147" s="6773"/>
      <c r="E147" s="6774"/>
      <c r="F147" s="6774"/>
      <c r="G147" s="6774">
        <v>1</v>
      </c>
      <c r="H147" s="6774"/>
      <c r="I147" s="6787"/>
      <c r="J147" s="6773"/>
      <c r="K147" s="6773"/>
      <c r="L147" s="6776"/>
      <c r="M147" s="6788"/>
      <c r="N147" s="6788"/>
      <c r="O147" s="6788"/>
      <c r="P147" s="6789"/>
      <c r="Q147" s="6789"/>
      <c r="R147" s="6790"/>
      <c r="S147" s="8139"/>
      <c r="T147" s="8140" t="s">
        <v>505</v>
      </c>
      <c r="U147" s="8141"/>
      <c r="V147" s="8142"/>
      <c r="W147" s="8143"/>
      <c r="X147" s="8144"/>
      <c r="Y147" s="8145"/>
      <c r="Z147" s="8146"/>
      <c r="AA147" s="8147"/>
      <c r="AB147" s="8148"/>
      <c r="AC147" s="8149"/>
      <c r="AD147" s="8150"/>
      <c r="AE147" s="8151"/>
      <c r="AF147" s="8152"/>
      <c r="AG147" s="8153"/>
      <c r="AH147" s="8154"/>
      <c r="AI147" s="8155"/>
      <c r="AJ147" s="8156"/>
      <c r="AK147" s="8157"/>
      <c r="AL147" s="8158"/>
      <c r="AM147" s="8159"/>
      <c r="AN147" s="8160"/>
      <c r="AO147" s="8161"/>
      <c r="AP147" s="8162"/>
      <c r="AQ147" s="8163"/>
      <c r="AR147" s="8164"/>
      <c r="AS147" s="8165"/>
      <c r="AT147" s="8166"/>
      <c r="AU147" s="8167"/>
      <c r="AV147" s="8168"/>
      <c r="AW147" s="8169"/>
      <c r="AX147" s="8170"/>
      <c r="AY147" s="8171"/>
      <c r="AZ147" s="8172"/>
      <c r="BA147" s="8173"/>
      <c r="BB147" s="8174"/>
      <c r="BC147" s="8175"/>
      <c r="BD147" s="8176"/>
      <c r="BE147" s="8177"/>
      <c r="BF147" s="8178"/>
      <c r="BG147" s="6687"/>
      <c r="BH147" s="6785"/>
      <c r="BI147" s="6785" t="str">
        <f>IF(T147="","",T147)</f>
        <v>Добавить группу потребителей</v>
      </c>
      <c r="BJ147" s="6785"/>
      <c r="BK147" s="6785"/>
      <c r="BL147" s="6591">
        <v>0</v>
      </c>
    </row>
    <row s="8179" customFormat="1" customHeight="1" ht="21">
      <c r="A148" s="6773"/>
      <c r="B148" s="6773"/>
      <c r="C148" s="6773"/>
      <c r="D148" s="6773"/>
      <c r="E148" s="6774"/>
      <c r="F148" s="6774"/>
      <c r="G148" s="6774">
        <v>1</v>
      </c>
      <c r="H148" s="6775"/>
      <c r="I148" s="6773"/>
      <c r="J148" s="6773"/>
      <c r="K148" s="6773"/>
      <c r="L148" s="6776"/>
      <c r="M148" s="6777"/>
      <c r="N148" s="6777"/>
      <c r="O148" s="6678"/>
      <c r="P148" s="6889"/>
      <c r="Q148" s="6890"/>
      <c r="R148" s="6891"/>
      <c r="S148" s="8180"/>
      <c r="T148" s="8181" t="s">
        <v>578</v>
      </c>
      <c r="U148" s="8182"/>
      <c r="V148" s="8183"/>
      <c r="W148" s="8184"/>
      <c r="X148" s="8185"/>
      <c r="Y148" s="8186"/>
      <c r="Z148" s="8187"/>
      <c r="AA148" s="8188"/>
      <c r="AB148" s="8189"/>
      <c r="AC148" s="8190"/>
      <c r="AD148" s="8191"/>
      <c r="AE148" s="8192"/>
      <c r="AF148" s="8193"/>
      <c r="AG148" s="8194"/>
      <c r="AH148" s="8195"/>
      <c r="AI148" s="8196"/>
      <c r="AJ148" s="8197"/>
      <c r="AK148" s="8198"/>
      <c r="AL148" s="8199"/>
      <c r="AM148" s="8200"/>
      <c r="AN148" s="8201"/>
      <c r="AO148" s="8202"/>
      <c r="AP148" s="8203"/>
      <c r="AQ148" s="8204"/>
      <c r="AR148" s="8205"/>
      <c r="AS148" s="8206"/>
      <c r="AT148" s="8207"/>
      <c r="AU148" s="8208"/>
      <c r="AV148" s="8209"/>
      <c r="AW148" s="8210"/>
      <c r="AX148" s="8211"/>
      <c r="AY148" s="8212"/>
      <c r="AZ148" s="8213"/>
      <c r="BA148" s="8214"/>
      <c r="BB148" s="8215"/>
      <c r="BC148" s="8216"/>
      <c r="BD148" s="8217"/>
      <c r="BE148" s="8218"/>
      <c r="BF148" s="8219"/>
      <c r="BG148" s="6687"/>
      <c r="BH148" s="6785"/>
      <c r="BI148" s="6785" t="str">
        <f>IF(T148="","",T148)</f>
        <v>Добавить наименование признака дифференциации</v>
      </c>
      <c r="BJ148" s="6785"/>
      <c r="BK148" s="6785"/>
      <c r="BL148" s="6591">
        <v>0</v>
      </c>
    </row>
    <row s="8220" customFormat="1" customHeight="1" ht="14.25">
      <c r="A149" s="7571"/>
      <c r="B149" s="7571"/>
      <c r="C149" s="7571"/>
      <c r="D149" s="7571"/>
      <c r="E149" s="6774"/>
      <c r="F149" s="6775" t="s">
        <v>116</v>
      </c>
      <c r="G149" s="7571"/>
      <c r="H149" s="7571"/>
      <c r="I149" s="7571"/>
      <c r="J149" s="7571"/>
      <c r="K149" s="7571"/>
      <c r="L149" s="7572"/>
      <c r="M149" s="7573"/>
      <c r="N149" s="7573"/>
      <c r="O149" s="6687"/>
      <c r="P149" s="7574"/>
      <c r="Q149" s="7575"/>
      <c r="R149" s="7574"/>
      <c r="S149" s="7576"/>
      <c r="T149" s="7577" t="s">
        <v>312</v>
      </c>
      <c r="U149" s="6676"/>
      <c r="V149" s="6676"/>
      <c r="W149" s="6676"/>
      <c r="X149" s="6676"/>
      <c r="Y149" s="6676"/>
      <c r="Z149" s="6676"/>
      <c r="AA149" s="6676"/>
      <c r="AB149" s="6676"/>
      <c r="AC149" s="6676"/>
      <c r="AD149" s="6676"/>
      <c r="AE149" s="6676"/>
      <c r="AF149" s="6676"/>
      <c r="AG149" s="6676"/>
      <c r="AH149" s="6676"/>
      <c r="AI149" s="6676"/>
      <c r="AJ149" s="6676"/>
      <c r="AK149" s="6676"/>
      <c r="AL149" s="6676"/>
      <c r="AM149" s="6676"/>
      <c r="AN149" s="6676"/>
      <c r="AO149" s="6676"/>
      <c r="AP149" s="6676"/>
      <c r="AQ149" s="6676"/>
      <c r="AR149" s="6676"/>
      <c r="AS149" s="6676"/>
      <c r="AT149" s="6676"/>
      <c r="AU149" s="6676"/>
      <c r="AV149" s="6676"/>
      <c r="AW149" s="6676"/>
      <c r="AX149" s="6676"/>
      <c r="AY149" s="6676"/>
      <c r="AZ149" s="6676"/>
      <c r="BA149" s="6676"/>
      <c r="BB149" s="6676"/>
      <c r="BC149" s="6676"/>
      <c r="BD149" s="6676"/>
      <c r="BE149" s="6676"/>
      <c r="BF149" s="6676"/>
      <c r="BG149" s="6687"/>
      <c r="BH149" s="6785"/>
      <c r="BI149" s="6785" t="str">
        <f>IF(T149="","",T149)</f>
        <v>Добавить централизованную систему для дифференциации</v>
      </c>
      <c r="BJ149" s="6785"/>
      <c r="BK149" s="6785"/>
      <c r="BL149" s="6687">
        <v>0</v>
      </c>
    </row>
    <row s="8221" customFormat="1" customHeight="1" ht="23.25">
      <c r="A150" s="6773"/>
      <c r="B150" s="6773" t="s">
        <v>340</v>
      </c>
      <c r="C150" s="6773"/>
      <c r="D150" s="6773"/>
      <c r="E150" s="6774"/>
      <c r="F150" s="6775" t="s">
        <v>93</v>
      </c>
      <c r="G150" s="6773"/>
      <c r="H150" s="6773"/>
      <c r="I150" s="6773"/>
      <c r="J150" s="6773"/>
      <c r="K150" s="6773"/>
      <c r="L150" s="6776"/>
      <c r="M150" s="6777"/>
      <c r="N150" s="6777"/>
      <c r="O150" s="6777"/>
      <c r="P150" s="7314"/>
      <c r="Q150" s="6779"/>
      <c r="R150" s="6780"/>
      <c r="S150" s="6781" t="str">
        <f>INDEX(PT_DIFFERENTIATION_NUM_TER,MATCH(B150,PT_DIFFERENTIATION_TER_ID,0))</f>
        <v>1.7</v>
      </c>
      <c r="T150" s="7315" t="s">
        <v>490</v>
      </c>
      <c r="U150" s="6783"/>
      <c r="V150" s="6593"/>
      <c r="W150" s="6594"/>
      <c r="X150" s="6594"/>
      <c r="Y150" s="6594"/>
      <c r="Z150" s="6594"/>
      <c r="AA150" s="6594"/>
      <c r="AB150" s="6595"/>
      <c r="AC150" s="6593" t="str">
        <f>INDEX(PT_DIFFERENTIATION_TER,MATCH(B150,PT_DIFFERENTIATION_TER_ID,0))</f>
        <v>Территория 7</v>
      </c>
      <c r="AD150" s="6594"/>
      <c r="AE150" s="6594"/>
      <c r="AF150" s="6594"/>
      <c r="AG150" s="6594"/>
      <c r="AH150" s="6594"/>
      <c r="AI150" s="6594"/>
      <c r="AJ150" s="6593"/>
      <c r="AK150" s="6594"/>
      <c r="AL150" s="6594"/>
      <c r="AM150" s="6594"/>
      <c r="AN150" s="6594"/>
      <c r="AO150" s="6594"/>
      <c r="AP150" s="6595"/>
      <c r="AQ150" s="6593"/>
      <c r="AR150" s="6594"/>
      <c r="AS150" s="6594"/>
      <c r="AT150" s="6594"/>
      <c r="AU150" s="6594"/>
      <c r="AV150" s="6594"/>
      <c r="AW150" s="6595"/>
      <c r="AX150" s="6593"/>
      <c r="AY150" s="6594"/>
      <c r="AZ150" s="6594"/>
      <c r="BA150" s="6594"/>
      <c r="BB150" s="6594"/>
      <c r="BC150" s="6594"/>
      <c r="BD150" s="6595"/>
      <c r="BE150" s="6595"/>
      <c r="BF150" s="6784" t="s">
        <v>491</v>
      </c>
      <c r="BG150" s="6687"/>
      <c r="BH150" s="6785"/>
      <c r="BI150" s="6785" t="str">
        <f>IF(T150="","",T150)</f>
        <v>Территория действия тарифа</v>
      </c>
      <c r="BJ150" s="6785"/>
      <c r="BK150" s="6785"/>
      <c r="BL150" s="6591">
        <v>0</v>
      </c>
    </row>
    <row s="8222" customFormat="1" customHeight="1" ht="23.25">
      <c r="A151" s="6773"/>
      <c r="B151" s="6773"/>
      <c r="C151" s="6773" t="s">
        <v>341</v>
      </c>
      <c r="D151" s="6773"/>
      <c r="E151" s="6774"/>
      <c r="F151" s="6774" t="s">
        <v>92</v>
      </c>
      <c r="G151" s="6775">
        <v>1</v>
      </c>
      <c r="H151" s="6773"/>
      <c r="I151" s="6773"/>
      <c r="J151" s="6773"/>
      <c r="K151" s="6773"/>
      <c r="L151" s="6776"/>
      <c r="M151" s="6777"/>
      <c r="N151" s="6777"/>
      <c r="O151" s="6777"/>
      <c r="P151" s="6778"/>
      <c r="Q151" s="6779"/>
      <c r="R151" s="6780"/>
      <c r="S151" s="6781" t="str">
        <f>INDEX(PT_DIFFERENTIATION_NUM_CS,MATCH(C151,PT_DIFFERENTIATION_CS_ID,0))</f>
        <v>1.7.1</v>
      </c>
      <c r="T151" s="6782" t="s">
        <v>606</v>
      </c>
      <c r="U151" s="6783"/>
      <c r="V151" s="6593"/>
      <c r="W151" s="6594"/>
      <c r="X151" s="6594"/>
      <c r="Y151" s="6594"/>
      <c r="Z151" s="6594"/>
      <c r="AA151" s="6594"/>
      <c r="AB151" s="6595"/>
      <c r="AC151" s="6593" t="str">
        <f>INDEX(PT_DIFFERENTIATION_CS,MATCH(C151,PT_DIFFERENTIATION_CS_ID,0))</f>
        <v>ГО Спасск-Дальний</v>
      </c>
      <c r="AD151" s="6594"/>
      <c r="AE151" s="6594"/>
      <c r="AF151" s="6594"/>
      <c r="AG151" s="6594"/>
      <c r="AH151" s="6594"/>
      <c r="AI151" s="6594"/>
      <c r="AJ151" s="6593"/>
      <c r="AK151" s="6594"/>
      <c r="AL151" s="6594"/>
      <c r="AM151" s="6594"/>
      <c r="AN151" s="6594"/>
      <c r="AO151" s="6594"/>
      <c r="AP151" s="6595"/>
      <c r="AQ151" s="6593"/>
      <c r="AR151" s="6594"/>
      <c r="AS151" s="6594"/>
      <c r="AT151" s="6594"/>
      <c r="AU151" s="6594"/>
      <c r="AV151" s="6594"/>
      <c r="AW151" s="6595"/>
      <c r="AX151" s="6593"/>
      <c r="AY151" s="6594"/>
      <c r="AZ151" s="6594"/>
      <c r="BA151" s="6594"/>
      <c r="BB151" s="6594"/>
      <c r="BC151" s="6594"/>
      <c r="BD151" s="6595"/>
      <c r="BE151" s="6595"/>
      <c r="BF151" s="6784" t="s">
        <v>607</v>
      </c>
      <c r="BG151" s="6687"/>
      <c r="BH151" s="6785"/>
      <c r="BI151" s="6785" t="str">
        <f>IF(T151="","",T151)</f>
        <v>Наименование централизованной системы водоотведения</v>
      </c>
      <c r="BJ151" s="6785"/>
      <c r="BK151" s="6785"/>
      <c r="BL151" s="6591">
        <v>0</v>
      </c>
    </row>
    <row s="8223" customFormat="1" customHeight="1" ht="23.25">
      <c r="A152" s="6773"/>
      <c r="B152" s="6773"/>
      <c r="C152" s="6773"/>
      <c r="D152" s="6773"/>
      <c r="E152" s="6774"/>
      <c r="F152" s="6774" t="s">
        <v>92</v>
      </c>
      <c r="G152" s="6774"/>
      <c r="H152" s="6774"/>
      <c r="I152" s="6787" t="str">
        <f>S151&amp;".1"</f>
        <v>1.7.1.1</v>
      </c>
      <c r="J152" s="6773"/>
      <c r="K152" s="6773"/>
      <c r="L152" s="6776"/>
      <c r="M152" s="6788"/>
      <c r="N152" s="6788"/>
      <c r="O152" s="6788"/>
      <c r="P152" s="6789">
        <v>1</v>
      </c>
      <c r="Q152" s="6789"/>
      <c r="R152" s="6790"/>
      <c r="S152" s="6781" t="str">
        <f>$I152</f>
        <v>1.7.1.1</v>
      </c>
      <c r="T152" s="6791" t="s">
        <v>573</v>
      </c>
      <c r="U152" s="6783"/>
      <c r="V152" s="6598"/>
      <c r="W152" s="6599"/>
      <c r="X152" s="6599"/>
      <c r="Y152" s="6599"/>
      <c r="Z152" s="6599"/>
      <c r="AA152" s="6599"/>
      <c r="AB152" s="6600"/>
      <c r="AC152" s="6792"/>
      <c r="AD152" s="6793"/>
      <c r="AE152" s="6793"/>
      <c r="AF152" s="6793"/>
      <c r="AG152" s="6793"/>
      <c r="AH152" s="6793"/>
      <c r="AI152" s="6793"/>
      <c r="AJ152" s="6598"/>
      <c r="AK152" s="6599"/>
      <c r="AL152" s="6599"/>
      <c r="AM152" s="6599"/>
      <c r="AN152" s="6599"/>
      <c r="AO152" s="6599"/>
      <c r="AP152" s="6600"/>
      <c r="AQ152" s="6598"/>
      <c r="AR152" s="6599"/>
      <c r="AS152" s="6599"/>
      <c r="AT152" s="6599"/>
      <c r="AU152" s="6599"/>
      <c r="AV152" s="6599"/>
      <c r="AW152" s="6600"/>
      <c r="AX152" s="6598"/>
      <c r="AY152" s="6599"/>
      <c r="AZ152" s="6599"/>
      <c r="BA152" s="6599"/>
      <c r="BB152" s="6599"/>
      <c r="BC152" s="6599"/>
      <c r="BD152" s="6600"/>
      <c r="BE152" s="6794"/>
      <c r="BF152" s="6784" t="s">
        <v>574</v>
      </c>
      <c r="BG152" s="6687"/>
      <c r="BH152" s="6785"/>
      <c r="BI152" s="6785" t="str">
        <f>IF(T152="","",T152)</f>
        <v>Наименование признака дифференциации</v>
      </c>
      <c r="BJ152" s="6785"/>
      <c r="BK152" s="6785"/>
      <c r="BL152" s="6591">
        <v>0</v>
      </c>
    </row>
    <row s="8224" customFormat="1" customHeight="1" ht="23.25">
      <c r="A153" s="6773"/>
      <c r="B153" s="6773"/>
      <c r="C153" s="6773"/>
      <c r="D153" s="6773"/>
      <c r="E153" s="6774"/>
      <c r="F153" s="6774" t="s">
        <v>92</v>
      </c>
      <c r="G153" s="6774"/>
      <c r="H153" s="6774"/>
      <c r="I153" s="6796"/>
      <c r="J153" s="6787" t="str">
        <f>I152&amp;".1"</f>
        <v>1.7.1.1.1</v>
      </c>
      <c r="K153" s="6773"/>
      <c r="L153" s="6776" t="s">
        <v>499</v>
      </c>
      <c r="M153" s="6788"/>
      <c r="N153" s="6788"/>
      <c r="O153" s="6788"/>
      <c r="P153" s="6789"/>
      <c r="Q153" s="6789">
        <v>1</v>
      </c>
      <c r="R153" s="6797"/>
      <c r="S153" s="6781" t="str">
        <f>$J153</f>
        <v>1.7.1.1.1</v>
      </c>
      <c r="T153" s="6798" t="s">
        <v>500</v>
      </c>
      <c r="U153" s="6783"/>
      <c r="V153" s="6601"/>
      <c r="W153" s="6602"/>
      <c r="X153" s="6602"/>
      <c r="Y153" s="6602"/>
      <c r="Z153" s="6602"/>
      <c r="AA153" s="6602"/>
      <c r="AB153" s="6603"/>
      <c r="AC153" s="6601" t="s">
        <v>611</v>
      </c>
      <c r="AD153" s="6602"/>
      <c r="AE153" s="6602"/>
      <c r="AF153" s="6602"/>
      <c r="AG153" s="6602"/>
      <c r="AH153" s="6602"/>
      <c r="AI153" s="6602"/>
      <c r="AJ153" s="6601"/>
      <c r="AK153" s="6602"/>
      <c r="AL153" s="6602"/>
      <c r="AM153" s="6602"/>
      <c r="AN153" s="6602"/>
      <c r="AO153" s="6602"/>
      <c r="AP153" s="6603"/>
      <c r="AQ153" s="6601"/>
      <c r="AR153" s="6602"/>
      <c r="AS153" s="6602"/>
      <c r="AT153" s="6602"/>
      <c r="AU153" s="6602"/>
      <c r="AV153" s="6602"/>
      <c r="AW153" s="6603"/>
      <c r="AX153" s="6601"/>
      <c r="AY153" s="6602"/>
      <c r="AZ153" s="6602"/>
      <c r="BA153" s="6602"/>
      <c r="BB153" s="6602"/>
      <c r="BC153" s="6602"/>
      <c r="BD153" s="6603"/>
      <c r="BE153" s="6603"/>
      <c r="BF153" s="6799" t="s">
        <v>575</v>
      </c>
      <c r="BG153" s="6687"/>
      <c r="BH153" s="6785"/>
      <c r="BI153" s="6785" t="str">
        <f>IF(T153="","",T153)</f>
        <v>Группа потребителей</v>
      </c>
      <c r="BJ153" s="6785"/>
      <c r="BK153" s="6785"/>
      <c r="BL153" s="6591">
        <v>0</v>
      </c>
    </row>
    <row s="8225" customFormat="1" customHeight="1" ht="23.25">
      <c r="A154" s="6773"/>
      <c r="B154" s="6773"/>
      <c r="C154" s="6773"/>
      <c r="D154" s="6773"/>
      <c r="E154" s="6774"/>
      <c r="F154" s="6774" t="s">
        <v>92</v>
      </c>
      <c r="G154" s="6774"/>
      <c r="H154" s="6774"/>
      <c r="I154" s="6796"/>
      <c r="J154" s="6796"/>
      <c r="K154" s="6787" t="str">
        <f>J153&amp;".1"</f>
        <v>1.7.1.1.1.1</v>
      </c>
      <c r="L154" s="6776"/>
      <c r="M154" s="6788"/>
      <c r="N154" s="6788"/>
      <c r="O154" s="6788"/>
      <c r="P154" s="6789"/>
      <c r="Q154" s="6789"/>
      <c r="R154" s="6797">
        <v>1</v>
      </c>
      <c r="S154" s="6781" t="str">
        <f>$K154</f>
        <v>1.7.1.1.1.1</v>
      </c>
      <c r="T154" s="6801" t="s">
        <v>569</v>
      </c>
      <c r="U154" s="6783"/>
      <c r="V154" s="6604"/>
      <c r="W154" s="6604"/>
      <c r="X154" s="6605"/>
      <c r="Y154" s="6606"/>
      <c r="Z154" s="6607" t="s">
        <v>66</v>
      </c>
      <c r="AA154" s="6606"/>
      <c r="AB154" s="6607" t="s">
        <v>66</v>
      </c>
      <c r="AC154" s="6604">
        <v>38.28</v>
      </c>
      <c r="AD154" s="6604"/>
      <c r="AE154" s="6605"/>
      <c r="AF154" s="6606">
        <v>45658.615439814814</v>
      </c>
      <c r="AG154" s="6607" t="s">
        <v>66</v>
      </c>
      <c r="AH154" s="6707">
        <v>46022.61560185185</v>
      </c>
      <c r="AI154" s="6607" t="s">
        <v>66</v>
      </c>
      <c r="AJ154" s="6604">
        <v>35.88</v>
      </c>
      <c r="AK154" s="6604"/>
      <c r="AL154" s="6605"/>
      <c r="AM154" s="6606">
        <v>46023.6280787037</v>
      </c>
      <c r="AN154" s="6607" t="s">
        <v>66</v>
      </c>
      <c r="AO154" s="6606">
        <v>46387.62820601852</v>
      </c>
      <c r="AP154" s="6607" t="s">
        <v>66</v>
      </c>
      <c r="AQ154" s="6604">
        <v>36.88</v>
      </c>
      <c r="AR154" s="6604"/>
      <c r="AS154" s="6605"/>
      <c r="AT154" s="6606">
        <v>46388.62789351852</v>
      </c>
      <c r="AU154" s="6607" t="s">
        <v>66</v>
      </c>
      <c r="AV154" s="6606">
        <v>46752.6277662037</v>
      </c>
      <c r="AW154" s="6607" t="s">
        <v>66</v>
      </c>
      <c r="AX154" s="6604">
        <v>37.92</v>
      </c>
      <c r="AY154" s="6604"/>
      <c r="AZ154" s="6605"/>
      <c r="BA154" s="6606">
        <v>46753.62752314815</v>
      </c>
      <c r="BB154" s="6607" t="s">
        <v>66</v>
      </c>
      <c r="BC154" s="6606">
        <v>47118.62766203703</v>
      </c>
      <c r="BD154" s="6607" t="s">
        <v>66</v>
      </c>
      <c r="BE154" s="6802"/>
      <c r="BF154" s="68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154" s="6687">
        <f>STRCHECKDATE(V155:BE155)</f>
      </c>
      <c r="BH154" s="6785"/>
      <c r="BI154" s="6785" t="str">
        <f>IF(T154="","",T154)</f>
        <v>без НДС</v>
      </c>
      <c r="BJ154" s="6785"/>
      <c r="BK154" s="6785"/>
      <c r="BL154" s="6591">
        <v>0</v>
      </c>
    </row>
    <row s="8226" customFormat="1" customHeight="1" ht="14.25">
      <c r="A155" s="6773"/>
      <c r="B155" s="6773"/>
      <c r="C155" s="6773"/>
      <c r="D155" s="6773"/>
      <c r="E155" s="6774"/>
      <c r="F155" s="6774" t="s">
        <v>92</v>
      </c>
      <c r="G155" s="6774"/>
      <c r="H155" s="6774"/>
      <c r="I155" s="6796"/>
      <c r="J155" s="6796"/>
      <c r="K155" s="6787"/>
      <c r="L155" s="6776"/>
      <c r="M155" s="6788"/>
      <c r="N155" s="6788"/>
      <c r="O155" s="6788"/>
      <c r="P155" s="6789"/>
      <c r="Q155" s="6789"/>
      <c r="R155" s="6797"/>
      <c r="S155" s="6805"/>
      <c r="T155" s="6783"/>
      <c r="U155" s="6783"/>
      <c r="V155" s="6609"/>
      <c r="W155" s="6609"/>
      <c r="X155" s="6610" t="str">
        <f>Y154&amp;"-"&amp;AA154</f>
        <v>-</v>
      </c>
      <c r="Y155" s="6611"/>
      <c r="Z155" s="6607"/>
      <c r="AA155" s="6611"/>
      <c r="AB155" s="6607"/>
      <c r="AC155" s="6609"/>
      <c r="AD155" s="6609"/>
      <c r="AE155" s="6610" t="str">
        <f>AF154&amp;"-"&amp;AH154</f>
        <v>45658.615439814814-46022.61560185185</v>
      </c>
      <c r="AF155" s="6611"/>
      <c r="AG155" s="6607"/>
      <c r="AH155" s="6708"/>
      <c r="AI155" s="6607"/>
      <c r="AJ155" s="6609"/>
      <c r="AK155" s="6609"/>
      <c r="AL155" s="6610" t="str">
        <f>AM154&amp;"-"&amp;AO154</f>
        <v>46023.6280787037-46387.62820601852</v>
      </c>
      <c r="AM155" s="6611"/>
      <c r="AN155" s="6607"/>
      <c r="AO155" s="6611"/>
      <c r="AP155" s="6607"/>
      <c r="AQ155" s="6609"/>
      <c r="AR155" s="6609"/>
      <c r="AS155" s="6610" t="str">
        <f>AT154&amp;"-"&amp;AV154</f>
        <v>46388.62789351852-46752.6277662037</v>
      </c>
      <c r="AT155" s="6611"/>
      <c r="AU155" s="6607"/>
      <c r="AV155" s="6611"/>
      <c r="AW155" s="6607"/>
      <c r="AX155" s="6609"/>
      <c r="AY155" s="6609"/>
      <c r="AZ155" s="6610" t="str">
        <f>BA154&amp;"-"&amp;BC154</f>
        <v>46753.62752314815-47118.62766203703</v>
      </c>
      <c r="BA155" s="6611"/>
      <c r="BB155" s="6607"/>
      <c r="BC155" s="6611"/>
      <c r="BD155" s="6607"/>
      <c r="BE155" s="6806"/>
      <c r="BF155" s="6803"/>
      <c r="BG155" s="6687"/>
      <c r="BH155" s="6785"/>
      <c r="BI155" s="6785" t="str">
        <f>IF(T155="","",T155)</f>
        <v/>
      </c>
      <c r="BJ155" s="6785"/>
      <c r="BK155" s="6785"/>
      <c r="BL155" s="6591">
        <v>0</v>
      </c>
    </row>
    <row s="8227" customFormat="1" customHeight="1" ht="21">
      <c r="A156" s="6773"/>
      <c r="B156" s="6773"/>
      <c r="C156" s="6773"/>
      <c r="D156" s="6773"/>
      <c r="E156" s="6774"/>
      <c r="F156" s="6774" t="s">
        <v>92</v>
      </c>
      <c r="G156" s="6774"/>
      <c r="H156" s="6774"/>
      <c r="I156" s="6796"/>
      <c r="J156" s="6787"/>
      <c r="K156" s="6773"/>
      <c r="L156" s="6776"/>
      <c r="M156" s="6788"/>
      <c r="N156" s="6788"/>
      <c r="O156" s="6788"/>
      <c r="P156" s="6789"/>
      <c r="Q156" s="6789"/>
      <c r="R156" s="6790"/>
      <c r="S156" s="8228"/>
      <c r="T156" s="8229" t="s">
        <v>576</v>
      </c>
      <c r="U156" s="8230"/>
      <c r="V156" s="8231"/>
      <c r="W156" s="8232"/>
      <c r="X156" s="8233"/>
      <c r="Y156" s="8234"/>
      <c r="Z156" s="8235"/>
      <c r="AA156" s="8236"/>
      <c r="AB156" s="8237"/>
      <c r="AC156" s="8238"/>
      <c r="AD156" s="8239"/>
      <c r="AE156" s="8240"/>
      <c r="AF156" s="8241"/>
      <c r="AG156" s="8242"/>
      <c r="AH156" s="8243"/>
      <c r="AI156" s="8244"/>
      <c r="AJ156" s="8245"/>
      <c r="AK156" s="8246"/>
      <c r="AL156" s="8247"/>
      <c r="AM156" s="8248"/>
      <c r="AN156" s="8249"/>
      <c r="AO156" s="8250"/>
      <c r="AP156" s="8251"/>
      <c r="AQ156" s="8252"/>
      <c r="AR156" s="8253"/>
      <c r="AS156" s="8254"/>
      <c r="AT156" s="8255"/>
      <c r="AU156" s="8256"/>
      <c r="AV156" s="8257"/>
      <c r="AW156" s="8258"/>
      <c r="AX156" s="8259"/>
      <c r="AY156" s="8260"/>
      <c r="AZ156" s="8261"/>
      <c r="BA156" s="8262"/>
      <c r="BB156" s="8263"/>
      <c r="BC156" s="8264"/>
      <c r="BD156" s="8265"/>
      <c r="BE156" s="8266"/>
      <c r="BF156" s="6784" t="s">
        <v>577</v>
      </c>
      <c r="BG156" s="6687"/>
      <c r="BH156" s="6785"/>
      <c r="BI156" s="6785" t="str">
        <f>IF(T156="","",T156)</f>
        <v>Добавить значение признака дифференциации</v>
      </c>
      <c r="BJ156" s="6785"/>
      <c r="BK156" s="6785"/>
      <c r="BL156" s="6591">
        <v>0</v>
      </c>
    </row>
    <row s="8267" customFormat="1" customHeight="1" ht="21">
      <c r="A157" s="6773"/>
      <c r="B157" s="6773"/>
      <c r="C157" s="6773"/>
      <c r="D157" s="6773"/>
      <c r="E157" s="6774"/>
      <c r="F157" s="6774" t="s">
        <v>92</v>
      </c>
      <c r="G157" s="6774"/>
      <c r="H157" s="6774"/>
      <c r="I157" s="6787"/>
      <c r="J157" s="6773"/>
      <c r="K157" s="6773"/>
      <c r="L157" s="6776"/>
      <c r="M157" s="6788"/>
      <c r="N157" s="6788"/>
      <c r="O157" s="6788"/>
      <c r="P157" s="6789"/>
      <c r="Q157" s="6789"/>
      <c r="R157" s="6790"/>
      <c r="S157" s="8268"/>
      <c r="T157" s="8269" t="s">
        <v>505</v>
      </c>
      <c r="U157" s="8270"/>
      <c r="V157" s="8271"/>
      <c r="W157" s="8272"/>
      <c r="X157" s="8273"/>
      <c r="Y157" s="8274"/>
      <c r="Z157" s="8275"/>
      <c r="AA157" s="8276"/>
      <c r="AB157" s="8277"/>
      <c r="AC157" s="8278"/>
      <c r="AD157" s="8279"/>
      <c r="AE157" s="8280"/>
      <c r="AF157" s="8281"/>
      <c r="AG157" s="8282"/>
      <c r="AH157" s="8283"/>
      <c r="AI157" s="8284"/>
      <c r="AJ157" s="8285"/>
      <c r="AK157" s="8286"/>
      <c r="AL157" s="8287"/>
      <c r="AM157" s="8288"/>
      <c r="AN157" s="8289"/>
      <c r="AO157" s="8290"/>
      <c r="AP157" s="8291"/>
      <c r="AQ157" s="8292"/>
      <c r="AR157" s="8293"/>
      <c r="AS157" s="8294"/>
      <c r="AT157" s="8295"/>
      <c r="AU157" s="8296"/>
      <c r="AV157" s="8297"/>
      <c r="AW157" s="8298"/>
      <c r="AX157" s="8299"/>
      <c r="AY157" s="8300"/>
      <c r="AZ157" s="8301"/>
      <c r="BA157" s="8302"/>
      <c r="BB157" s="8303"/>
      <c r="BC157" s="8304"/>
      <c r="BD157" s="8305"/>
      <c r="BE157" s="8306"/>
      <c r="BF157" s="8307"/>
      <c r="BG157" s="6687"/>
      <c r="BH157" s="6785"/>
      <c r="BI157" s="6785" t="str">
        <f>IF(T157="","",T157)</f>
        <v>Добавить группу потребителей</v>
      </c>
      <c r="BJ157" s="6785"/>
      <c r="BK157" s="6785"/>
      <c r="BL157" s="6591">
        <v>0</v>
      </c>
    </row>
    <row s="8308" customFormat="1" customHeight="1" ht="21">
      <c r="A158" s="6773"/>
      <c r="B158" s="6773"/>
      <c r="C158" s="6773"/>
      <c r="D158" s="6773"/>
      <c r="E158" s="6774"/>
      <c r="F158" s="6774" t="s">
        <v>92</v>
      </c>
      <c r="G158" s="6774"/>
      <c r="H158" s="6775"/>
      <c r="I158" s="6773"/>
      <c r="J158" s="6773"/>
      <c r="K158" s="6773"/>
      <c r="L158" s="6776"/>
      <c r="M158" s="6777"/>
      <c r="N158" s="6777"/>
      <c r="O158" s="6678"/>
      <c r="P158" s="6889"/>
      <c r="Q158" s="6890"/>
      <c r="R158" s="6891"/>
      <c r="S158" s="8309"/>
      <c r="T158" s="8310" t="s">
        <v>578</v>
      </c>
      <c r="U158" s="8311"/>
      <c r="V158" s="8312"/>
      <c r="W158" s="8313"/>
      <c r="X158" s="8314"/>
      <c r="Y158" s="8315"/>
      <c r="Z158" s="8316"/>
      <c r="AA158" s="8317"/>
      <c r="AB158" s="8318"/>
      <c r="AC158" s="8319"/>
      <c r="AD158" s="8320"/>
      <c r="AE158" s="8321"/>
      <c r="AF158" s="8322"/>
      <c r="AG158" s="8323"/>
      <c r="AH158" s="8324"/>
      <c r="AI158" s="8325"/>
      <c r="AJ158" s="8326"/>
      <c r="AK158" s="8327"/>
      <c r="AL158" s="8328"/>
      <c r="AM158" s="8329"/>
      <c r="AN158" s="8330"/>
      <c r="AO158" s="8331"/>
      <c r="AP158" s="8332"/>
      <c r="AQ158" s="8333"/>
      <c r="AR158" s="8334"/>
      <c r="AS158" s="8335"/>
      <c r="AT158" s="8336"/>
      <c r="AU158" s="8337"/>
      <c r="AV158" s="8338"/>
      <c r="AW158" s="8339"/>
      <c r="AX158" s="8340"/>
      <c r="AY158" s="8341"/>
      <c r="AZ158" s="8342"/>
      <c r="BA158" s="8343"/>
      <c r="BB158" s="8344"/>
      <c r="BC158" s="8345"/>
      <c r="BD158" s="8346"/>
      <c r="BE158" s="8347"/>
      <c r="BF158" s="8348"/>
      <c r="BG158" s="6687"/>
      <c r="BH158" s="6785"/>
      <c r="BI158" s="6785" t="str">
        <f>IF(T158="","",T158)</f>
        <v>Добавить наименование признака дифференциации</v>
      </c>
      <c r="BJ158" s="6785"/>
      <c r="BK158" s="6785"/>
      <c r="BL158" s="6591">
        <v>0</v>
      </c>
    </row>
    <row s="8349" customFormat="1" customHeight="1" ht="14.25">
      <c r="A159" s="7571"/>
      <c r="B159" s="7571"/>
      <c r="C159" s="7571"/>
      <c r="D159" s="7571"/>
      <c r="E159" s="6774"/>
      <c r="F159" s="6775" t="s">
        <v>92</v>
      </c>
      <c r="G159" s="7571"/>
      <c r="H159" s="7571"/>
      <c r="I159" s="7571"/>
      <c r="J159" s="7571"/>
      <c r="K159" s="7571"/>
      <c r="L159" s="7572"/>
      <c r="M159" s="7573"/>
      <c r="N159" s="7573"/>
      <c r="O159" s="6687"/>
      <c r="P159" s="7574"/>
      <c r="Q159" s="7575"/>
      <c r="R159" s="7574"/>
      <c r="S159" s="7576"/>
      <c r="T159" s="7577" t="s">
        <v>312</v>
      </c>
      <c r="U159" s="6676"/>
      <c r="V159" s="6676"/>
      <c r="W159" s="6676"/>
      <c r="X159" s="6676"/>
      <c r="Y159" s="6676"/>
      <c r="Z159" s="6676"/>
      <c r="AA159" s="6676"/>
      <c r="AB159" s="6676"/>
      <c r="AC159" s="6676"/>
      <c r="AD159" s="6676"/>
      <c r="AE159" s="6676"/>
      <c r="AF159" s="6676"/>
      <c r="AG159" s="6676"/>
      <c r="AH159" s="6676"/>
      <c r="AI159" s="6676"/>
      <c r="AJ159" s="6676"/>
      <c r="AK159" s="6676"/>
      <c r="AL159" s="6676"/>
      <c r="AM159" s="6676"/>
      <c r="AN159" s="6676"/>
      <c r="AO159" s="6676"/>
      <c r="AP159" s="6676"/>
      <c r="AQ159" s="6676"/>
      <c r="AR159" s="6676"/>
      <c r="AS159" s="6676"/>
      <c r="AT159" s="6676"/>
      <c r="AU159" s="6676"/>
      <c r="AV159" s="6676"/>
      <c r="AW159" s="6676"/>
      <c r="AX159" s="6676"/>
      <c r="AY159" s="6676"/>
      <c r="AZ159" s="6676"/>
      <c r="BA159" s="6676"/>
      <c r="BB159" s="6676"/>
      <c r="BC159" s="6676"/>
      <c r="BD159" s="6676"/>
      <c r="BE159" s="6676"/>
      <c r="BF159" s="6676"/>
      <c r="BG159" s="6687"/>
      <c r="BH159" s="6785"/>
      <c r="BI159" s="6785" t="str">
        <f>IF(T159="","",T159)</f>
        <v>Добавить централизованную систему для дифференциации</v>
      </c>
      <c r="BJ159" s="6785"/>
      <c r="BK159" s="6785"/>
      <c r="BL159" s="6687">
        <v>0</v>
      </c>
    </row>
    <row s="8350" customFormat="1" customHeight="1" ht="23.25">
      <c r="A160" s="6773"/>
      <c r="B160" s="6773" t="s">
        <v>344</v>
      </c>
      <c r="C160" s="6773"/>
      <c r="D160" s="6773"/>
      <c r="E160" s="6774"/>
      <c r="F160" s="6775" t="s">
        <v>129</v>
      </c>
      <c r="G160" s="6773"/>
      <c r="H160" s="6773"/>
      <c r="I160" s="6773"/>
      <c r="J160" s="6773"/>
      <c r="K160" s="6773"/>
      <c r="L160" s="6776"/>
      <c r="M160" s="6777"/>
      <c r="N160" s="6777"/>
      <c r="O160" s="6777"/>
      <c r="P160" s="7314"/>
      <c r="Q160" s="6779"/>
      <c r="R160" s="6780"/>
      <c r="S160" s="6781" t="str">
        <f>INDEX(PT_DIFFERENTIATION_NUM_TER,MATCH(B160,PT_DIFFERENTIATION_TER_ID,0))</f>
        <v>1.8</v>
      </c>
      <c r="T160" s="7315" t="s">
        <v>490</v>
      </c>
      <c r="U160" s="6783"/>
      <c r="V160" s="6593"/>
      <c r="W160" s="6594"/>
      <c r="X160" s="6594"/>
      <c r="Y160" s="6594"/>
      <c r="Z160" s="6594"/>
      <c r="AA160" s="6594"/>
      <c r="AB160" s="6595"/>
      <c r="AC160" s="6593" t="str">
        <f>INDEX(PT_DIFFERENTIATION_TER,MATCH(B160,PT_DIFFERENTIATION_TER_ID,0))</f>
        <v>Территория 8</v>
      </c>
      <c r="AD160" s="6594"/>
      <c r="AE160" s="6594"/>
      <c r="AF160" s="6594"/>
      <c r="AG160" s="6594"/>
      <c r="AH160" s="6594"/>
      <c r="AI160" s="6594"/>
      <c r="AJ160" s="6593"/>
      <c r="AK160" s="6594"/>
      <c r="AL160" s="6594"/>
      <c r="AM160" s="6594"/>
      <c r="AN160" s="6594"/>
      <c r="AO160" s="6594"/>
      <c r="AP160" s="6595"/>
      <c r="AQ160" s="6593"/>
      <c r="AR160" s="6594"/>
      <c r="AS160" s="6594"/>
      <c r="AT160" s="6594"/>
      <c r="AU160" s="6594"/>
      <c r="AV160" s="6594"/>
      <c r="AW160" s="6595"/>
      <c r="AX160" s="6593"/>
      <c r="AY160" s="6594"/>
      <c r="AZ160" s="6594"/>
      <c r="BA160" s="6594"/>
      <c r="BB160" s="6594"/>
      <c r="BC160" s="6594"/>
      <c r="BD160" s="6595"/>
      <c r="BE160" s="6595"/>
      <c r="BF160" s="6784" t="s">
        <v>491</v>
      </c>
      <c r="BG160" s="6687"/>
      <c r="BH160" s="6785"/>
      <c r="BI160" s="6785" t="str">
        <f>IF(T160="","",T160)</f>
        <v>Территория действия тарифа</v>
      </c>
      <c r="BJ160" s="6785"/>
      <c r="BK160" s="6785"/>
      <c r="BL160" s="6591">
        <v>0</v>
      </c>
    </row>
    <row s="8351" customFormat="1" customHeight="1" ht="23.25">
      <c r="A161" s="6773"/>
      <c r="B161" s="6773"/>
      <c r="C161" s="6773" t="s">
        <v>345</v>
      </c>
      <c r="D161" s="6773"/>
      <c r="E161" s="6774"/>
      <c r="F161" s="6774" t="s">
        <v>93</v>
      </c>
      <c r="G161" s="6775">
        <v>1</v>
      </c>
      <c r="H161" s="6773"/>
      <c r="I161" s="6773"/>
      <c r="J161" s="6773"/>
      <c r="K161" s="6773"/>
      <c r="L161" s="6776"/>
      <c r="M161" s="6777"/>
      <c r="N161" s="6777"/>
      <c r="O161" s="6777"/>
      <c r="P161" s="6778"/>
      <c r="Q161" s="6779"/>
      <c r="R161" s="6780"/>
      <c r="S161" s="6781" t="str">
        <f>INDEX(PT_DIFFERENTIATION_NUM_CS,MATCH(C161,PT_DIFFERENTIATION_CS_ID,0))</f>
        <v>1.8.1</v>
      </c>
      <c r="T161" s="6782" t="s">
        <v>606</v>
      </c>
      <c r="U161" s="6783"/>
      <c r="V161" s="6593"/>
      <c r="W161" s="6594"/>
      <c r="X161" s="6594"/>
      <c r="Y161" s="6594"/>
      <c r="Z161" s="6594"/>
      <c r="AA161" s="6594"/>
      <c r="AB161" s="6595"/>
      <c r="AC161" s="6593" t="str">
        <f>INDEX(PT_DIFFERENTIATION_CS,MATCH(C161,PT_DIFFERENTIATION_CS_ID,0))</f>
        <v>с. Реттиховка</v>
      </c>
      <c r="AD161" s="6594"/>
      <c r="AE161" s="6594"/>
      <c r="AF161" s="6594"/>
      <c r="AG161" s="6594"/>
      <c r="AH161" s="6594"/>
      <c r="AI161" s="6594"/>
      <c r="AJ161" s="6593"/>
      <c r="AK161" s="6594"/>
      <c r="AL161" s="6594"/>
      <c r="AM161" s="6594"/>
      <c r="AN161" s="6594"/>
      <c r="AO161" s="6594"/>
      <c r="AP161" s="6595"/>
      <c r="AQ161" s="6593"/>
      <c r="AR161" s="6594"/>
      <c r="AS161" s="6594"/>
      <c r="AT161" s="6594"/>
      <c r="AU161" s="6594"/>
      <c r="AV161" s="6594"/>
      <c r="AW161" s="6595"/>
      <c r="AX161" s="6593"/>
      <c r="AY161" s="6594"/>
      <c r="AZ161" s="6594"/>
      <c r="BA161" s="6594"/>
      <c r="BB161" s="6594"/>
      <c r="BC161" s="6594"/>
      <c r="BD161" s="6595"/>
      <c r="BE161" s="6595"/>
      <c r="BF161" s="6784" t="s">
        <v>607</v>
      </c>
      <c r="BG161" s="6687"/>
      <c r="BH161" s="6785"/>
      <c r="BI161" s="6785" t="str">
        <f>IF(T161="","",T161)</f>
        <v>Наименование централизованной системы водоотведения</v>
      </c>
      <c r="BJ161" s="6785"/>
      <c r="BK161" s="6785"/>
      <c r="BL161" s="6591">
        <v>0</v>
      </c>
    </row>
    <row s="8352" customFormat="1" customHeight="1" ht="23.25">
      <c r="A162" s="6773"/>
      <c r="B162" s="6773"/>
      <c r="C162" s="6773"/>
      <c r="D162" s="6773"/>
      <c r="E162" s="6774"/>
      <c r="F162" s="6774" t="s">
        <v>93</v>
      </c>
      <c r="G162" s="6774"/>
      <c r="H162" s="6774"/>
      <c r="I162" s="6787" t="str">
        <f>S161&amp;".1"</f>
        <v>1.8.1.1</v>
      </c>
      <c r="J162" s="6773"/>
      <c r="K162" s="6773"/>
      <c r="L162" s="6776"/>
      <c r="M162" s="6788"/>
      <c r="N162" s="6788"/>
      <c r="O162" s="6788"/>
      <c r="P162" s="6789">
        <v>1</v>
      </c>
      <c r="Q162" s="6789"/>
      <c r="R162" s="6790"/>
      <c r="S162" s="6781" t="str">
        <f>$I162</f>
        <v>1.8.1.1</v>
      </c>
      <c r="T162" s="6791" t="s">
        <v>573</v>
      </c>
      <c r="U162" s="6783"/>
      <c r="V162" s="6598"/>
      <c r="W162" s="6599"/>
      <c r="X162" s="6599"/>
      <c r="Y162" s="6599"/>
      <c r="Z162" s="6599"/>
      <c r="AA162" s="6599"/>
      <c r="AB162" s="6600"/>
      <c r="AC162" s="6792"/>
      <c r="AD162" s="6793"/>
      <c r="AE162" s="6793"/>
      <c r="AF162" s="6793"/>
      <c r="AG162" s="6793"/>
      <c r="AH162" s="6793"/>
      <c r="AI162" s="6793"/>
      <c r="AJ162" s="6598"/>
      <c r="AK162" s="6599"/>
      <c r="AL162" s="6599"/>
      <c r="AM162" s="6599"/>
      <c r="AN162" s="6599"/>
      <c r="AO162" s="6599"/>
      <c r="AP162" s="6600"/>
      <c r="AQ162" s="6598"/>
      <c r="AR162" s="6599"/>
      <c r="AS162" s="6599"/>
      <c r="AT162" s="6599"/>
      <c r="AU162" s="6599"/>
      <c r="AV162" s="6599"/>
      <c r="AW162" s="6600"/>
      <c r="AX162" s="6598"/>
      <c r="AY162" s="6599"/>
      <c r="AZ162" s="6599"/>
      <c r="BA162" s="6599"/>
      <c r="BB162" s="6599"/>
      <c r="BC162" s="6599"/>
      <c r="BD162" s="6600"/>
      <c r="BE162" s="6794"/>
      <c r="BF162" s="6784" t="s">
        <v>574</v>
      </c>
      <c r="BG162" s="6687"/>
      <c r="BH162" s="6785"/>
      <c r="BI162" s="6785" t="str">
        <f>IF(T162="","",T162)</f>
        <v>Наименование признака дифференциации</v>
      </c>
      <c r="BJ162" s="6785"/>
      <c r="BK162" s="6785"/>
      <c r="BL162" s="6591">
        <v>0</v>
      </c>
    </row>
    <row s="8353" customFormat="1" customHeight="1" ht="23.25">
      <c r="A163" s="6773"/>
      <c r="B163" s="6773"/>
      <c r="C163" s="6773"/>
      <c r="D163" s="6773"/>
      <c r="E163" s="6774"/>
      <c r="F163" s="6774" t="s">
        <v>93</v>
      </c>
      <c r="G163" s="6774"/>
      <c r="H163" s="6774"/>
      <c r="I163" s="6796"/>
      <c r="J163" s="6787" t="str">
        <f>I162&amp;".1"</f>
        <v>1.8.1.1.1</v>
      </c>
      <c r="K163" s="6773"/>
      <c r="L163" s="6776" t="s">
        <v>499</v>
      </c>
      <c r="M163" s="6788"/>
      <c r="N163" s="6788"/>
      <c r="O163" s="6788"/>
      <c r="P163" s="6789"/>
      <c r="Q163" s="6789">
        <v>1</v>
      </c>
      <c r="R163" s="6797"/>
      <c r="S163" s="6781" t="str">
        <f>$J163</f>
        <v>1.8.1.1.1</v>
      </c>
      <c r="T163" s="6798" t="s">
        <v>500</v>
      </c>
      <c r="U163" s="6783"/>
      <c r="V163" s="6601"/>
      <c r="W163" s="6602"/>
      <c r="X163" s="6602"/>
      <c r="Y163" s="6602"/>
      <c r="Z163" s="6602"/>
      <c r="AA163" s="6602"/>
      <c r="AB163" s="6603"/>
      <c r="AC163" s="6601" t="s">
        <v>611</v>
      </c>
      <c r="AD163" s="6602"/>
      <c r="AE163" s="6602"/>
      <c r="AF163" s="6602"/>
      <c r="AG163" s="6602"/>
      <c r="AH163" s="6602"/>
      <c r="AI163" s="6602"/>
      <c r="AJ163" s="6601"/>
      <c r="AK163" s="6602"/>
      <c r="AL163" s="6602"/>
      <c r="AM163" s="6602"/>
      <c r="AN163" s="6602"/>
      <c r="AO163" s="6602"/>
      <c r="AP163" s="6603"/>
      <c r="AQ163" s="6601"/>
      <c r="AR163" s="6602"/>
      <c r="AS163" s="6602"/>
      <c r="AT163" s="6602"/>
      <c r="AU163" s="6602"/>
      <c r="AV163" s="6602"/>
      <c r="AW163" s="6603"/>
      <c r="AX163" s="6601"/>
      <c r="AY163" s="6602"/>
      <c r="AZ163" s="6602"/>
      <c r="BA163" s="6602"/>
      <c r="BB163" s="6602"/>
      <c r="BC163" s="6602"/>
      <c r="BD163" s="6603"/>
      <c r="BE163" s="6603"/>
      <c r="BF163" s="6799" t="s">
        <v>575</v>
      </c>
      <c r="BG163" s="6687"/>
      <c r="BH163" s="6785"/>
      <c r="BI163" s="6785" t="str">
        <f>IF(T163="","",T163)</f>
        <v>Группа потребителей</v>
      </c>
      <c r="BJ163" s="6785"/>
      <c r="BK163" s="6785"/>
      <c r="BL163" s="6591">
        <v>0</v>
      </c>
    </row>
    <row s="8354" customFormat="1" customHeight="1" ht="23.25">
      <c r="A164" s="6773"/>
      <c r="B164" s="6773"/>
      <c r="C164" s="6773"/>
      <c r="D164" s="6773"/>
      <c r="E164" s="6774"/>
      <c r="F164" s="6774" t="s">
        <v>93</v>
      </c>
      <c r="G164" s="6774"/>
      <c r="H164" s="6774"/>
      <c r="I164" s="6796"/>
      <c r="J164" s="6796"/>
      <c r="K164" s="6787" t="str">
        <f>J163&amp;".1"</f>
        <v>1.8.1.1.1.1</v>
      </c>
      <c r="L164" s="6776"/>
      <c r="M164" s="6788"/>
      <c r="N164" s="6788"/>
      <c r="O164" s="6788"/>
      <c r="P164" s="6789"/>
      <c r="Q164" s="6789"/>
      <c r="R164" s="6797">
        <v>1</v>
      </c>
      <c r="S164" s="6781" t="str">
        <f>$K164</f>
        <v>1.8.1.1.1.1</v>
      </c>
      <c r="T164" s="6801" t="s">
        <v>569</v>
      </c>
      <c r="U164" s="6783"/>
      <c r="V164" s="6604"/>
      <c r="W164" s="6604"/>
      <c r="X164" s="6605"/>
      <c r="Y164" s="6606"/>
      <c r="Z164" s="6607" t="s">
        <v>66</v>
      </c>
      <c r="AA164" s="6606"/>
      <c r="AB164" s="6607" t="s">
        <v>66</v>
      </c>
      <c r="AC164" s="6604">
        <v>42.91</v>
      </c>
      <c r="AD164" s="6604"/>
      <c r="AE164" s="6605"/>
      <c r="AF164" s="6606">
        <v>45658.615752314814</v>
      </c>
      <c r="AG164" s="6607" t="s">
        <v>66</v>
      </c>
      <c r="AH164" s="6707">
        <v>46022.61585648148</v>
      </c>
      <c r="AI164" s="6607" t="s">
        <v>66</v>
      </c>
      <c r="AJ164" s="6604">
        <v>40.68</v>
      </c>
      <c r="AK164" s="6604"/>
      <c r="AL164" s="6605"/>
      <c r="AM164" s="6606">
        <v>46023.626435185186</v>
      </c>
      <c r="AN164" s="6607" t="s">
        <v>66</v>
      </c>
      <c r="AO164" s="6606">
        <v>46387.62658564815</v>
      </c>
      <c r="AP164" s="6607" t="s">
        <v>66</v>
      </c>
      <c r="AQ164" s="6604">
        <v>41.82</v>
      </c>
      <c r="AR164" s="6604"/>
      <c r="AS164" s="6605"/>
      <c r="AT164" s="6606">
        <v>46388.62678240741</v>
      </c>
      <c r="AU164" s="6607" t="s">
        <v>66</v>
      </c>
      <c r="AV164" s="6606">
        <v>46752.62700231482</v>
      </c>
      <c r="AW164" s="6607" t="s">
        <v>66</v>
      </c>
      <c r="AX164" s="6604">
        <v>42.99</v>
      </c>
      <c r="AY164" s="6604"/>
      <c r="AZ164" s="6605"/>
      <c r="BA164" s="6606">
        <v>46753.62719907407</v>
      </c>
      <c r="BB164" s="6607" t="s">
        <v>66</v>
      </c>
      <c r="BC164" s="6606">
        <v>47118.627291666664</v>
      </c>
      <c r="BD164" s="6607" t="s">
        <v>66</v>
      </c>
      <c r="BE164" s="6802"/>
      <c r="BF164" s="68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164" s="6687">
        <f>STRCHECKDATE(V165:BE165)</f>
      </c>
      <c r="BH164" s="6785"/>
      <c r="BI164" s="6785" t="str">
        <f>IF(T164="","",T164)</f>
        <v>без НДС</v>
      </c>
      <c r="BJ164" s="6785"/>
      <c r="BK164" s="6785"/>
      <c r="BL164" s="6591">
        <v>0</v>
      </c>
    </row>
    <row s="8355" customFormat="1" customHeight="1" ht="14.25">
      <c r="A165" s="6773"/>
      <c r="B165" s="6773"/>
      <c r="C165" s="6773"/>
      <c r="D165" s="6773"/>
      <c r="E165" s="6774"/>
      <c r="F165" s="6774" t="s">
        <v>93</v>
      </c>
      <c r="G165" s="6774"/>
      <c r="H165" s="6774"/>
      <c r="I165" s="6796"/>
      <c r="J165" s="6796"/>
      <c r="K165" s="6787"/>
      <c r="L165" s="6776"/>
      <c r="M165" s="6788"/>
      <c r="N165" s="6788"/>
      <c r="O165" s="6788"/>
      <c r="P165" s="6789"/>
      <c r="Q165" s="6789"/>
      <c r="R165" s="6797"/>
      <c r="S165" s="6805"/>
      <c r="T165" s="6783"/>
      <c r="U165" s="6783"/>
      <c r="V165" s="6609"/>
      <c r="W165" s="6609"/>
      <c r="X165" s="6610" t="str">
        <f>Y164&amp;"-"&amp;AA164</f>
        <v>-</v>
      </c>
      <c r="Y165" s="6611"/>
      <c r="Z165" s="6607"/>
      <c r="AA165" s="6611"/>
      <c r="AB165" s="6607"/>
      <c r="AC165" s="6609"/>
      <c r="AD165" s="6609"/>
      <c r="AE165" s="6610" t="str">
        <f>AF164&amp;"-"&amp;AH164</f>
        <v>45658.615752314814-46022.61585648148</v>
      </c>
      <c r="AF165" s="6611"/>
      <c r="AG165" s="6607"/>
      <c r="AH165" s="6708"/>
      <c r="AI165" s="6607"/>
      <c r="AJ165" s="6609"/>
      <c r="AK165" s="6609"/>
      <c r="AL165" s="6610" t="str">
        <f>AM164&amp;"-"&amp;AO164</f>
        <v>46023.626435185186-46387.62658564815</v>
      </c>
      <c r="AM165" s="6611"/>
      <c r="AN165" s="6607"/>
      <c r="AO165" s="6611"/>
      <c r="AP165" s="6607"/>
      <c r="AQ165" s="6609"/>
      <c r="AR165" s="6609"/>
      <c r="AS165" s="6610" t="str">
        <f>AT164&amp;"-"&amp;AV164</f>
        <v>46388.62678240741-46752.62700231482</v>
      </c>
      <c r="AT165" s="6611"/>
      <c r="AU165" s="6607"/>
      <c r="AV165" s="6611"/>
      <c r="AW165" s="6607"/>
      <c r="AX165" s="6609"/>
      <c r="AY165" s="6609"/>
      <c r="AZ165" s="6610" t="str">
        <f>BA164&amp;"-"&amp;BC164</f>
        <v>46753.62719907407-47118.627291666664</v>
      </c>
      <c r="BA165" s="6611"/>
      <c r="BB165" s="6607"/>
      <c r="BC165" s="6611"/>
      <c r="BD165" s="6607"/>
      <c r="BE165" s="6806"/>
      <c r="BF165" s="6803"/>
      <c r="BG165" s="6687"/>
      <c r="BH165" s="6785"/>
      <c r="BI165" s="6785" t="str">
        <f>IF(T165="","",T165)</f>
        <v/>
      </c>
      <c r="BJ165" s="6785"/>
      <c r="BK165" s="6785"/>
      <c r="BL165" s="6591">
        <v>0</v>
      </c>
    </row>
    <row s="8356" customFormat="1" customHeight="1" ht="21">
      <c r="A166" s="6773"/>
      <c r="B166" s="6773"/>
      <c r="C166" s="6773"/>
      <c r="D166" s="6773"/>
      <c r="E166" s="6774"/>
      <c r="F166" s="6774" t="s">
        <v>93</v>
      </c>
      <c r="G166" s="6774"/>
      <c r="H166" s="6774"/>
      <c r="I166" s="6796"/>
      <c r="J166" s="6787"/>
      <c r="K166" s="6773"/>
      <c r="L166" s="6776"/>
      <c r="M166" s="6788"/>
      <c r="N166" s="6788"/>
      <c r="O166" s="6788"/>
      <c r="P166" s="6789"/>
      <c r="Q166" s="6789"/>
      <c r="R166" s="6790"/>
      <c r="S166" s="8357"/>
      <c r="T166" s="8358" t="s">
        <v>576</v>
      </c>
      <c r="U166" s="8359"/>
      <c r="V166" s="8360"/>
      <c r="W166" s="8361"/>
      <c r="X166" s="8362"/>
      <c r="Y166" s="8363"/>
      <c r="Z166" s="8364"/>
      <c r="AA166" s="8365"/>
      <c r="AB166" s="8366"/>
      <c r="AC166" s="8367"/>
      <c r="AD166" s="8368"/>
      <c r="AE166" s="8369"/>
      <c r="AF166" s="8370"/>
      <c r="AG166" s="8371"/>
      <c r="AH166" s="8372"/>
      <c r="AI166" s="8373"/>
      <c r="AJ166" s="8374"/>
      <c r="AK166" s="8375"/>
      <c r="AL166" s="8376"/>
      <c r="AM166" s="8377"/>
      <c r="AN166" s="8378"/>
      <c r="AO166" s="8379"/>
      <c r="AP166" s="8380"/>
      <c r="AQ166" s="8381"/>
      <c r="AR166" s="8382"/>
      <c r="AS166" s="8383"/>
      <c r="AT166" s="8384"/>
      <c r="AU166" s="8385"/>
      <c r="AV166" s="8386"/>
      <c r="AW166" s="8387"/>
      <c r="AX166" s="8388"/>
      <c r="AY166" s="8389"/>
      <c r="AZ166" s="8390"/>
      <c r="BA166" s="8391"/>
      <c r="BB166" s="8392"/>
      <c r="BC166" s="8393"/>
      <c r="BD166" s="8394"/>
      <c r="BE166" s="8395"/>
      <c r="BF166" s="6784" t="s">
        <v>577</v>
      </c>
      <c r="BG166" s="6687"/>
      <c r="BH166" s="6785"/>
      <c r="BI166" s="6785" t="str">
        <f>IF(T166="","",T166)</f>
        <v>Добавить значение признака дифференциации</v>
      </c>
      <c r="BJ166" s="6785"/>
      <c r="BK166" s="6785"/>
      <c r="BL166" s="6591">
        <v>0</v>
      </c>
    </row>
    <row s="8396" customFormat="1" customHeight="1" ht="21">
      <c r="A167" s="6773"/>
      <c r="B167" s="6773"/>
      <c r="C167" s="6773"/>
      <c r="D167" s="6773"/>
      <c r="E167" s="6774"/>
      <c r="F167" s="6774" t="s">
        <v>93</v>
      </c>
      <c r="G167" s="6774"/>
      <c r="H167" s="6774"/>
      <c r="I167" s="6787"/>
      <c r="J167" s="6773"/>
      <c r="K167" s="6773"/>
      <c r="L167" s="6776"/>
      <c r="M167" s="6788"/>
      <c r="N167" s="6788"/>
      <c r="O167" s="6788"/>
      <c r="P167" s="6789"/>
      <c r="Q167" s="6789"/>
      <c r="R167" s="6790"/>
      <c r="S167" s="8397"/>
      <c r="T167" s="8398" t="s">
        <v>505</v>
      </c>
      <c r="U167" s="8399"/>
      <c r="V167" s="8400"/>
      <c r="W167" s="8401"/>
      <c r="X167" s="8402"/>
      <c r="Y167" s="8403"/>
      <c r="Z167" s="8404"/>
      <c r="AA167" s="8405"/>
      <c r="AB167" s="8406"/>
      <c r="AC167" s="8407"/>
      <c r="AD167" s="8408"/>
      <c r="AE167" s="8409"/>
      <c r="AF167" s="8410"/>
      <c r="AG167" s="8411"/>
      <c r="AH167" s="8412"/>
      <c r="AI167" s="8413"/>
      <c r="AJ167" s="8414"/>
      <c r="AK167" s="8415"/>
      <c r="AL167" s="8416"/>
      <c r="AM167" s="8417"/>
      <c r="AN167" s="8418"/>
      <c r="AO167" s="8419"/>
      <c r="AP167" s="8420"/>
      <c r="AQ167" s="8421"/>
      <c r="AR167" s="8422"/>
      <c r="AS167" s="8423"/>
      <c r="AT167" s="8424"/>
      <c r="AU167" s="8425"/>
      <c r="AV167" s="8426"/>
      <c r="AW167" s="8427"/>
      <c r="AX167" s="8428"/>
      <c r="AY167" s="8429"/>
      <c r="AZ167" s="8430"/>
      <c r="BA167" s="8431"/>
      <c r="BB167" s="8432"/>
      <c r="BC167" s="8433"/>
      <c r="BD167" s="8434"/>
      <c r="BE167" s="8435"/>
      <c r="BF167" s="8436"/>
      <c r="BG167" s="6687"/>
      <c r="BH167" s="6785"/>
      <c r="BI167" s="6785" t="str">
        <f>IF(T167="","",T167)</f>
        <v>Добавить группу потребителей</v>
      </c>
      <c r="BJ167" s="6785"/>
      <c r="BK167" s="6785"/>
      <c r="BL167" s="6591">
        <v>0</v>
      </c>
    </row>
    <row s="8437" customFormat="1" customHeight="1" ht="21">
      <c r="A168" s="6773"/>
      <c r="B168" s="6773"/>
      <c r="C168" s="6773"/>
      <c r="D168" s="6773"/>
      <c r="E168" s="6774"/>
      <c r="F168" s="6774" t="s">
        <v>93</v>
      </c>
      <c r="G168" s="6774"/>
      <c r="H168" s="6775"/>
      <c r="I168" s="6773"/>
      <c r="J168" s="6773"/>
      <c r="K168" s="6773"/>
      <c r="L168" s="6776"/>
      <c r="M168" s="6777"/>
      <c r="N168" s="6777"/>
      <c r="O168" s="6678"/>
      <c r="P168" s="6889"/>
      <c r="Q168" s="6890"/>
      <c r="R168" s="6891"/>
      <c r="S168" s="8438"/>
      <c r="T168" s="8439" t="s">
        <v>578</v>
      </c>
      <c r="U168" s="8440"/>
      <c r="V168" s="8441"/>
      <c r="W168" s="8442"/>
      <c r="X168" s="8443"/>
      <c r="Y168" s="8444"/>
      <c r="Z168" s="8445"/>
      <c r="AA168" s="8446"/>
      <c r="AB168" s="8447"/>
      <c r="AC168" s="8448"/>
      <c r="AD168" s="8449"/>
      <c r="AE168" s="8450"/>
      <c r="AF168" s="8451"/>
      <c r="AG168" s="8452"/>
      <c r="AH168" s="8453"/>
      <c r="AI168" s="8454"/>
      <c r="AJ168" s="8455"/>
      <c r="AK168" s="8456"/>
      <c r="AL168" s="8457"/>
      <c r="AM168" s="8458"/>
      <c r="AN168" s="8459"/>
      <c r="AO168" s="8460"/>
      <c r="AP168" s="8461"/>
      <c r="AQ168" s="8462"/>
      <c r="AR168" s="8463"/>
      <c r="AS168" s="8464"/>
      <c r="AT168" s="8465"/>
      <c r="AU168" s="8466"/>
      <c r="AV168" s="8467"/>
      <c r="AW168" s="8468"/>
      <c r="AX168" s="8469"/>
      <c r="AY168" s="8470"/>
      <c r="AZ168" s="8471"/>
      <c r="BA168" s="8472"/>
      <c r="BB168" s="8473"/>
      <c r="BC168" s="8474"/>
      <c r="BD168" s="8475"/>
      <c r="BE168" s="8476"/>
      <c r="BF168" s="8477"/>
      <c r="BG168" s="6687"/>
      <c r="BH168" s="6785"/>
      <c r="BI168" s="6785" t="str">
        <f>IF(T168="","",T168)</f>
        <v>Добавить наименование признака дифференциации</v>
      </c>
      <c r="BJ168" s="6785"/>
      <c r="BK168" s="6785"/>
      <c r="BL168" s="6591">
        <v>0</v>
      </c>
    </row>
    <row s="8478" customFormat="1" customHeight="1" ht="23.25">
      <c r="A169" s="6773"/>
      <c r="B169" s="6773"/>
      <c r="C169" s="6773" t="s">
        <v>348</v>
      </c>
      <c r="D169" s="6773"/>
      <c r="E169" s="6774"/>
      <c r="F169" s="6774"/>
      <c r="G169" s="6775" t="s">
        <v>103</v>
      </c>
      <c r="H169" s="6773"/>
      <c r="I169" s="6773"/>
      <c r="J169" s="6773"/>
      <c r="K169" s="6773"/>
      <c r="L169" s="6776"/>
      <c r="M169" s="6777"/>
      <c r="N169" s="6777"/>
      <c r="O169" s="6777"/>
      <c r="P169" s="6778"/>
      <c r="Q169" s="6779"/>
      <c r="R169" s="6780"/>
      <c r="S169" s="6781" t="str">
        <f>INDEX(PT_DIFFERENTIATION_NUM_CS,MATCH(C169,PT_DIFFERENTIATION_CS_ID,0))</f>
        <v>1.8.2</v>
      </c>
      <c r="T169" s="6782" t="s">
        <v>606</v>
      </c>
      <c r="U169" s="6783"/>
      <c r="V169" s="6593"/>
      <c r="W169" s="6594"/>
      <c r="X169" s="6594"/>
      <c r="Y169" s="6594"/>
      <c r="Z169" s="6594"/>
      <c r="AA169" s="6594"/>
      <c r="AB169" s="6595"/>
      <c r="AC169" s="6593" t="str">
        <f>INDEX(PT_DIFFERENTIATION_CS,MATCH(C169,PT_DIFFERENTIATION_CS_ID,0))</f>
        <v>с. Майское, с. Дмитриевка</v>
      </c>
      <c r="AD169" s="6594"/>
      <c r="AE169" s="6594"/>
      <c r="AF169" s="6594"/>
      <c r="AG169" s="6594"/>
      <c r="AH169" s="6594"/>
      <c r="AI169" s="6594"/>
      <c r="AJ169" s="6593"/>
      <c r="AK169" s="6594"/>
      <c r="AL169" s="6594"/>
      <c r="AM169" s="6594"/>
      <c r="AN169" s="6594"/>
      <c r="AO169" s="6594"/>
      <c r="AP169" s="6595"/>
      <c r="AQ169" s="6593"/>
      <c r="AR169" s="6594"/>
      <c r="AS169" s="6594"/>
      <c r="AT169" s="6594"/>
      <c r="AU169" s="6594"/>
      <c r="AV169" s="6594"/>
      <c r="AW169" s="6595"/>
      <c r="AX169" s="6593"/>
      <c r="AY169" s="6594"/>
      <c r="AZ169" s="6594"/>
      <c r="BA169" s="6594"/>
      <c r="BB169" s="6594"/>
      <c r="BC169" s="6594"/>
      <c r="BD169" s="6595"/>
      <c r="BE169" s="6595"/>
      <c r="BF169" s="6784" t="s">
        <v>607</v>
      </c>
      <c r="BG169" s="6687"/>
      <c r="BH169" s="6785"/>
      <c r="BI169" s="6785" t="str">
        <f>IF(T169="","",T169)</f>
        <v>Наименование централизованной системы водоотведения</v>
      </c>
      <c r="BJ169" s="6785"/>
      <c r="BK169" s="6785"/>
      <c r="BL169" s="6591">
        <v>0</v>
      </c>
    </row>
    <row s="8479" customFormat="1" customHeight="1" ht="23.25">
      <c r="A170" s="6773"/>
      <c r="B170" s="6773"/>
      <c r="C170" s="6773"/>
      <c r="D170" s="6773"/>
      <c r="E170" s="6774"/>
      <c r="F170" s="6774"/>
      <c r="G170" s="6774">
        <v>1</v>
      </c>
      <c r="H170" s="6774"/>
      <c r="I170" s="6787" t="str">
        <f>S169&amp;".1"</f>
        <v>1.8.2.1</v>
      </c>
      <c r="J170" s="6773"/>
      <c r="K170" s="6773"/>
      <c r="L170" s="6776"/>
      <c r="M170" s="6788"/>
      <c r="N170" s="6788"/>
      <c r="O170" s="6788"/>
      <c r="P170" s="6789">
        <v>1</v>
      </c>
      <c r="Q170" s="6789"/>
      <c r="R170" s="6790"/>
      <c r="S170" s="6781" t="str">
        <f>$I170</f>
        <v>1.8.2.1</v>
      </c>
      <c r="T170" s="6791" t="s">
        <v>573</v>
      </c>
      <c r="U170" s="6783"/>
      <c r="V170" s="6598"/>
      <c r="W170" s="6599"/>
      <c r="X170" s="6599"/>
      <c r="Y170" s="6599"/>
      <c r="Z170" s="6599"/>
      <c r="AA170" s="6599"/>
      <c r="AB170" s="6600"/>
      <c r="AC170" s="6792"/>
      <c r="AD170" s="6793"/>
      <c r="AE170" s="6793"/>
      <c r="AF170" s="6793"/>
      <c r="AG170" s="6793"/>
      <c r="AH170" s="6793"/>
      <c r="AI170" s="6793"/>
      <c r="AJ170" s="6598"/>
      <c r="AK170" s="6599"/>
      <c r="AL170" s="6599"/>
      <c r="AM170" s="6599"/>
      <c r="AN170" s="6599"/>
      <c r="AO170" s="6599"/>
      <c r="AP170" s="6600"/>
      <c r="AQ170" s="6598"/>
      <c r="AR170" s="6599"/>
      <c r="AS170" s="6599"/>
      <c r="AT170" s="6599"/>
      <c r="AU170" s="6599"/>
      <c r="AV170" s="6599"/>
      <c r="AW170" s="6600"/>
      <c r="AX170" s="6598"/>
      <c r="AY170" s="6599"/>
      <c r="AZ170" s="6599"/>
      <c r="BA170" s="6599"/>
      <c r="BB170" s="6599"/>
      <c r="BC170" s="6599"/>
      <c r="BD170" s="6600"/>
      <c r="BE170" s="6794"/>
      <c r="BF170" s="6784" t="s">
        <v>574</v>
      </c>
      <c r="BG170" s="6687"/>
      <c r="BH170" s="6785"/>
      <c r="BI170" s="6785" t="str">
        <f>IF(T170="","",T170)</f>
        <v>Наименование признака дифференциации</v>
      </c>
      <c r="BJ170" s="6785"/>
      <c r="BK170" s="6785"/>
      <c r="BL170" s="6591">
        <v>0</v>
      </c>
    </row>
    <row s="8480" customFormat="1" customHeight="1" ht="23.25">
      <c r="A171" s="6773"/>
      <c r="B171" s="6773"/>
      <c r="C171" s="6773"/>
      <c r="D171" s="6773"/>
      <c r="E171" s="6774"/>
      <c r="F171" s="6774"/>
      <c r="G171" s="6774">
        <v>1</v>
      </c>
      <c r="H171" s="6774"/>
      <c r="I171" s="6796"/>
      <c r="J171" s="6787" t="str">
        <f>I170&amp;".1"</f>
        <v>1.8.2.1.1</v>
      </c>
      <c r="K171" s="6773"/>
      <c r="L171" s="6776" t="s">
        <v>499</v>
      </c>
      <c r="M171" s="6788"/>
      <c r="N171" s="6788"/>
      <c r="O171" s="6788"/>
      <c r="P171" s="6789"/>
      <c r="Q171" s="6789">
        <v>1</v>
      </c>
      <c r="R171" s="6797"/>
      <c r="S171" s="6781" t="str">
        <f>$J171</f>
        <v>1.8.2.1.1</v>
      </c>
      <c r="T171" s="6798" t="s">
        <v>500</v>
      </c>
      <c r="U171" s="6783"/>
      <c r="V171" s="6601"/>
      <c r="W171" s="6602"/>
      <c r="X171" s="6602"/>
      <c r="Y171" s="6602"/>
      <c r="Z171" s="6602"/>
      <c r="AA171" s="6602"/>
      <c r="AB171" s="6603"/>
      <c r="AC171" s="6601" t="s">
        <v>611</v>
      </c>
      <c r="AD171" s="6602"/>
      <c r="AE171" s="6602"/>
      <c r="AF171" s="6602"/>
      <c r="AG171" s="6602"/>
      <c r="AH171" s="6602"/>
      <c r="AI171" s="6602"/>
      <c r="AJ171" s="6601"/>
      <c r="AK171" s="6602"/>
      <c r="AL171" s="6602"/>
      <c r="AM171" s="6602"/>
      <c r="AN171" s="6602"/>
      <c r="AO171" s="6602"/>
      <c r="AP171" s="6603"/>
      <c r="AQ171" s="6601"/>
      <c r="AR171" s="6602"/>
      <c r="AS171" s="6602"/>
      <c r="AT171" s="6602"/>
      <c r="AU171" s="6602"/>
      <c r="AV171" s="6602"/>
      <c r="AW171" s="6603"/>
      <c r="AX171" s="6601"/>
      <c r="AY171" s="6602"/>
      <c r="AZ171" s="6602"/>
      <c r="BA171" s="6602"/>
      <c r="BB171" s="6602"/>
      <c r="BC171" s="6602"/>
      <c r="BD171" s="6603"/>
      <c r="BE171" s="6603"/>
      <c r="BF171" s="6799" t="s">
        <v>575</v>
      </c>
      <c r="BG171" s="6687"/>
      <c r="BH171" s="6785"/>
      <c r="BI171" s="6785" t="str">
        <f>IF(T171="","",T171)</f>
        <v>Группа потребителей</v>
      </c>
      <c r="BJ171" s="6785"/>
      <c r="BK171" s="6785"/>
      <c r="BL171" s="6591">
        <v>0</v>
      </c>
    </row>
    <row s="8481" customFormat="1" customHeight="1" ht="23.25">
      <c r="A172" s="6773"/>
      <c r="B172" s="6773"/>
      <c r="C172" s="6773"/>
      <c r="D172" s="6773"/>
      <c r="E172" s="6774"/>
      <c r="F172" s="6774"/>
      <c r="G172" s="6774">
        <v>1</v>
      </c>
      <c r="H172" s="6774"/>
      <c r="I172" s="6796"/>
      <c r="J172" s="6796"/>
      <c r="K172" s="6787" t="str">
        <f>J171&amp;".1"</f>
        <v>1.8.2.1.1.1</v>
      </c>
      <c r="L172" s="6776"/>
      <c r="M172" s="6788"/>
      <c r="N172" s="6788"/>
      <c r="O172" s="6788"/>
      <c r="P172" s="6789"/>
      <c r="Q172" s="6789"/>
      <c r="R172" s="6797">
        <v>1</v>
      </c>
      <c r="S172" s="6781" t="str">
        <f>$K172</f>
        <v>1.8.2.1.1.1</v>
      </c>
      <c r="T172" s="6801" t="s">
        <v>569</v>
      </c>
      <c r="U172" s="6783"/>
      <c r="V172" s="6604"/>
      <c r="W172" s="6604"/>
      <c r="X172" s="6605"/>
      <c r="Y172" s="6606"/>
      <c r="Z172" s="6607" t="s">
        <v>66</v>
      </c>
      <c r="AA172" s="6606"/>
      <c r="AB172" s="6607" t="s">
        <v>66</v>
      </c>
      <c r="AC172" s="6604">
        <v>52.38</v>
      </c>
      <c r="AD172" s="6604"/>
      <c r="AE172" s="6605"/>
      <c r="AF172" s="6606">
        <v>45658.61599537037</v>
      </c>
      <c r="AG172" s="6607" t="s">
        <v>66</v>
      </c>
      <c r="AH172" s="6707">
        <v>46022.61608796296</v>
      </c>
      <c r="AI172" s="6607" t="s">
        <v>66</v>
      </c>
      <c r="AJ172" s="6604">
        <v>49.67</v>
      </c>
      <c r="AK172" s="6604"/>
      <c r="AL172" s="6605"/>
      <c r="AM172" s="6606">
        <v>46023.62347222222</v>
      </c>
      <c r="AN172" s="6607" t="s">
        <v>66</v>
      </c>
      <c r="AO172" s="6606">
        <v>46387.623611111114</v>
      </c>
      <c r="AP172" s="6607" t="s">
        <v>66</v>
      </c>
      <c r="AQ172" s="6604">
        <v>50.92</v>
      </c>
      <c r="AR172" s="6604"/>
      <c r="AS172" s="6605"/>
      <c r="AT172" s="6606">
        <v>46388.6240625</v>
      </c>
      <c r="AU172" s="6607" t="s">
        <v>66</v>
      </c>
      <c r="AV172" s="6606">
        <v>46752.624247685184</v>
      </c>
      <c r="AW172" s="6607" t="s">
        <v>66</v>
      </c>
      <c r="AX172" s="6604">
        <v>52.22</v>
      </c>
      <c r="AY172" s="6604"/>
      <c r="AZ172" s="6605"/>
      <c r="BA172" s="6606">
        <v>46753.62447916667</v>
      </c>
      <c r="BB172" s="6607" t="s">
        <v>66</v>
      </c>
      <c r="BC172" s="6606">
        <v>47118.62627314815</v>
      </c>
      <c r="BD172" s="6607" t="s">
        <v>66</v>
      </c>
      <c r="BE172" s="6802"/>
      <c r="BF172" s="68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172" s="6687">
        <f>STRCHECKDATE(V173:BE173)</f>
      </c>
      <c r="BH172" s="6785"/>
      <c r="BI172" s="6785" t="str">
        <f>IF(T172="","",T172)</f>
        <v>без НДС</v>
      </c>
      <c r="BJ172" s="6785"/>
      <c r="BK172" s="6785"/>
      <c r="BL172" s="6591">
        <v>0</v>
      </c>
    </row>
    <row s="8482" customFormat="1" customHeight="1" ht="14.25">
      <c r="A173" s="6773"/>
      <c r="B173" s="6773"/>
      <c r="C173" s="6773"/>
      <c r="D173" s="6773"/>
      <c r="E173" s="6774"/>
      <c r="F173" s="6774"/>
      <c r="G173" s="6774">
        <v>1</v>
      </c>
      <c r="H173" s="6774"/>
      <c r="I173" s="6796"/>
      <c r="J173" s="6796"/>
      <c r="K173" s="6787"/>
      <c r="L173" s="6776"/>
      <c r="M173" s="6788"/>
      <c r="N173" s="6788"/>
      <c r="O173" s="6788"/>
      <c r="P173" s="6789"/>
      <c r="Q173" s="6789"/>
      <c r="R173" s="6797"/>
      <c r="S173" s="6805"/>
      <c r="T173" s="6783"/>
      <c r="U173" s="6783"/>
      <c r="V173" s="6609"/>
      <c r="W173" s="6609"/>
      <c r="X173" s="6610" t="str">
        <f>Y172&amp;"-"&amp;AA172</f>
        <v>-</v>
      </c>
      <c r="Y173" s="6611"/>
      <c r="Z173" s="6607"/>
      <c r="AA173" s="6611"/>
      <c r="AB173" s="6607"/>
      <c r="AC173" s="6609"/>
      <c r="AD173" s="6609"/>
      <c r="AE173" s="6610" t="str">
        <f>AF172&amp;"-"&amp;AH172</f>
        <v>45658.61599537037-46022.61608796296</v>
      </c>
      <c r="AF173" s="6611"/>
      <c r="AG173" s="6607"/>
      <c r="AH173" s="6708"/>
      <c r="AI173" s="6607"/>
      <c r="AJ173" s="6609"/>
      <c r="AK173" s="6609"/>
      <c r="AL173" s="6610" t="str">
        <f>AM172&amp;"-"&amp;AO172</f>
        <v>46023.62347222222-46387.623611111114</v>
      </c>
      <c r="AM173" s="6611"/>
      <c r="AN173" s="6607"/>
      <c r="AO173" s="6611"/>
      <c r="AP173" s="6607"/>
      <c r="AQ173" s="6609"/>
      <c r="AR173" s="6609"/>
      <c r="AS173" s="6610" t="str">
        <f>AT172&amp;"-"&amp;AV172</f>
        <v>46388.6240625-46752.624247685184</v>
      </c>
      <c r="AT173" s="6611"/>
      <c r="AU173" s="6607"/>
      <c r="AV173" s="6611"/>
      <c r="AW173" s="6607"/>
      <c r="AX173" s="6609"/>
      <c r="AY173" s="6609"/>
      <c r="AZ173" s="6610" t="str">
        <f>BA172&amp;"-"&amp;BC172</f>
        <v>46753.62447916667-47118.62627314815</v>
      </c>
      <c r="BA173" s="6611"/>
      <c r="BB173" s="6607"/>
      <c r="BC173" s="6611"/>
      <c r="BD173" s="6607"/>
      <c r="BE173" s="6806"/>
      <c r="BF173" s="6803"/>
      <c r="BG173" s="6687"/>
      <c r="BH173" s="6785"/>
      <c r="BI173" s="6785" t="str">
        <f>IF(T173="","",T173)</f>
        <v/>
      </c>
      <c r="BJ173" s="6785"/>
      <c r="BK173" s="6785"/>
      <c r="BL173" s="6591">
        <v>0</v>
      </c>
    </row>
    <row s="8483" customFormat="1" customHeight="1" ht="21">
      <c r="A174" s="6773"/>
      <c r="B174" s="6773"/>
      <c r="C174" s="6773"/>
      <c r="D174" s="6773"/>
      <c r="E174" s="6774"/>
      <c r="F174" s="6774"/>
      <c r="G174" s="6774">
        <v>1</v>
      </c>
      <c r="H174" s="6774"/>
      <c r="I174" s="6796"/>
      <c r="J174" s="6787"/>
      <c r="K174" s="6773"/>
      <c r="L174" s="6776"/>
      <c r="M174" s="6788"/>
      <c r="N174" s="6788"/>
      <c r="O174" s="6788"/>
      <c r="P174" s="6789"/>
      <c r="Q174" s="6789"/>
      <c r="R174" s="6790"/>
      <c r="S174" s="8484"/>
      <c r="T174" s="8485" t="s">
        <v>576</v>
      </c>
      <c r="U174" s="8486"/>
      <c r="V174" s="8487"/>
      <c r="W174" s="8488"/>
      <c r="X174" s="8489"/>
      <c r="Y174" s="8490"/>
      <c r="Z174" s="8491"/>
      <c r="AA174" s="8492"/>
      <c r="AB174" s="8493"/>
      <c r="AC174" s="8494"/>
      <c r="AD174" s="8495"/>
      <c r="AE174" s="8496"/>
      <c r="AF174" s="8497"/>
      <c r="AG174" s="8498"/>
      <c r="AH174" s="8499"/>
      <c r="AI174" s="8500"/>
      <c r="AJ174" s="8501"/>
      <c r="AK174" s="8502"/>
      <c r="AL174" s="8503"/>
      <c r="AM174" s="8504"/>
      <c r="AN174" s="8505"/>
      <c r="AO174" s="8506"/>
      <c r="AP174" s="8507"/>
      <c r="AQ174" s="8508"/>
      <c r="AR174" s="8509"/>
      <c r="AS174" s="8510"/>
      <c r="AT174" s="8511"/>
      <c r="AU174" s="8512"/>
      <c r="AV174" s="8513"/>
      <c r="AW174" s="8514"/>
      <c r="AX174" s="8515"/>
      <c r="AY174" s="8516"/>
      <c r="AZ174" s="8517"/>
      <c r="BA174" s="8518"/>
      <c r="BB174" s="8519"/>
      <c r="BC174" s="8520"/>
      <c r="BD174" s="8521"/>
      <c r="BE174" s="8522"/>
      <c r="BF174" s="6784" t="s">
        <v>577</v>
      </c>
      <c r="BG174" s="6687"/>
      <c r="BH174" s="6785"/>
      <c r="BI174" s="6785" t="str">
        <f>IF(T174="","",T174)</f>
        <v>Добавить значение признака дифференциации</v>
      </c>
      <c r="BJ174" s="6785"/>
      <c r="BK174" s="6785"/>
      <c r="BL174" s="6591">
        <v>0</v>
      </c>
    </row>
    <row s="8523" customFormat="1" customHeight="1" ht="21">
      <c r="A175" s="6773"/>
      <c r="B175" s="6773"/>
      <c r="C175" s="6773"/>
      <c r="D175" s="6773"/>
      <c r="E175" s="6774"/>
      <c r="F175" s="6774"/>
      <c r="G175" s="6774">
        <v>1</v>
      </c>
      <c r="H175" s="6774"/>
      <c r="I175" s="6787"/>
      <c r="J175" s="6773"/>
      <c r="K175" s="6773"/>
      <c r="L175" s="6776"/>
      <c r="M175" s="6788"/>
      <c r="N175" s="6788"/>
      <c r="O175" s="6788"/>
      <c r="P175" s="6789"/>
      <c r="Q175" s="6789"/>
      <c r="R175" s="6790"/>
      <c r="S175" s="8524"/>
      <c r="T175" s="8525" t="s">
        <v>505</v>
      </c>
      <c r="U175" s="8526"/>
      <c r="V175" s="8527"/>
      <c r="W175" s="8528"/>
      <c r="X175" s="8529"/>
      <c r="Y175" s="8530"/>
      <c r="Z175" s="8531"/>
      <c r="AA175" s="8532"/>
      <c r="AB175" s="8533"/>
      <c r="AC175" s="8534"/>
      <c r="AD175" s="8535"/>
      <c r="AE175" s="8536"/>
      <c r="AF175" s="8537"/>
      <c r="AG175" s="8538"/>
      <c r="AH175" s="8539"/>
      <c r="AI175" s="8540"/>
      <c r="AJ175" s="8541"/>
      <c r="AK175" s="8542"/>
      <c r="AL175" s="8543"/>
      <c r="AM175" s="8544"/>
      <c r="AN175" s="8545"/>
      <c r="AO175" s="8546"/>
      <c r="AP175" s="8547"/>
      <c r="AQ175" s="8548"/>
      <c r="AR175" s="8549"/>
      <c r="AS175" s="8550"/>
      <c r="AT175" s="8551"/>
      <c r="AU175" s="8552"/>
      <c r="AV175" s="8553"/>
      <c r="AW175" s="8554"/>
      <c r="AX175" s="8555"/>
      <c r="AY175" s="8556"/>
      <c r="AZ175" s="8557"/>
      <c r="BA175" s="8558"/>
      <c r="BB175" s="8559"/>
      <c r="BC175" s="8560"/>
      <c r="BD175" s="8561"/>
      <c r="BE175" s="8562"/>
      <c r="BF175" s="8563"/>
      <c r="BG175" s="6687"/>
      <c r="BH175" s="6785"/>
      <c r="BI175" s="6785" t="str">
        <f>IF(T175="","",T175)</f>
        <v>Добавить группу потребителей</v>
      </c>
      <c r="BJ175" s="6785"/>
      <c r="BK175" s="6785"/>
      <c r="BL175" s="6591">
        <v>0</v>
      </c>
    </row>
    <row s="8564" customFormat="1" customHeight="1" ht="21">
      <c r="A176" s="6773"/>
      <c r="B176" s="6773"/>
      <c r="C176" s="6773"/>
      <c r="D176" s="6773"/>
      <c r="E176" s="6774"/>
      <c r="F176" s="6774"/>
      <c r="G176" s="6774">
        <v>1</v>
      </c>
      <c r="H176" s="6775"/>
      <c r="I176" s="6773"/>
      <c r="J176" s="6773"/>
      <c r="K176" s="6773"/>
      <c r="L176" s="6776"/>
      <c r="M176" s="6777"/>
      <c r="N176" s="6777"/>
      <c r="O176" s="6678"/>
      <c r="P176" s="6889"/>
      <c r="Q176" s="6890"/>
      <c r="R176" s="6891"/>
      <c r="S176" s="8565"/>
      <c r="T176" s="8566" t="s">
        <v>578</v>
      </c>
      <c r="U176" s="8567"/>
      <c r="V176" s="8568"/>
      <c r="W176" s="8569"/>
      <c r="X176" s="8570"/>
      <c r="Y176" s="8571"/>
      <c r="Z176" s="8572"/>
      <c r="AA176" s="8573"/>
      <c r="AB176" s="8574"/>
      <c r="AC176" s="8575"/>
      <c r="AD176" s="8576"/>
      <c r="AE176" s="8577"/>
      <c r="AF176" s="8578"/>
      <c r="AG176" s="8579"/>
      <c r="AH176" s="8580"/>
      <c r="AI176" s="8581"/>
      <c r="AJ176" s="8582"/>
      <c r="AK176" s="8583"/>
      <c r="AL176" s="8584"/>
      <c r="AM176" s="8585"/>
      <c r="AN176" s="8586"/>
      <c r="AO176" s="8587"/>
      <c r="AP176" s="8588"/>
      <c r="AQ176" s="8589"/>
      <c r="AR176" s="8590"/>
      <c r="AS176" s="8591"/>
      <c r="AT176" s="8592"/>
      <c r="AU176" s="8593"/>
      <c r="AV176" s="8594"/>
      <c r="AW176" s="8595"/>
      <c r="AX176" s="8596"/>
      <c r="AY176" s="8597"/>
      <c r="AZ176" s="8598"/>
      <c r="BA176" s="8599"/>
      <c r="BB176" s="8600"/>
      <c r="BC176" s="8601"/>
      <c r="BD176" s="8602"/>
      <c r="BE176" s="8603"/>
      <c r="BF176" s="8604"/>
      <c r="BG176" s="6687"/>
      <c r="BH176" s="6785"/>
      <c r="BI176" s="6785" t="str">
        <f>IF(T176="","",T176)</f>
        <v>Добавить наименование признака дифференциации</v>
      </c>
      <c r="BJ176" s="6785"/>
      <c r="BK176" s="6785"/>
      <c r="BL176" s="6591">
        <v>0</v>
      </c>
    </row>
    <row s="8605" customFormat="1" customHeight="1" ht="23.25">
      <c r="A177" s="6773"/>
      <c r="B177" s="6773"/>
      <c r="C177" s="6773" t="s">
        <v>351</v>
      </c>
      <c r="D177" s="6773"/>
      <c r="E177" s="6774"/>
      <c r="F177" s="6774"/>
      <c r="G177" s="6775" t="s">
        <v>90</v>
      </c>
      <c r="H177" s="6773"/>
      <c r="I177" s="6773"/>
      <c r="J177" s="6773"/>
      <c r="K177" s="6773"/>
      <c r="L177" s="6776"/>
      <c r="M177" s="6777"/>
      <c r="N177" s="6777"/>
      <c r="O177" s="6777"/>
      <c r="P177" s="6778"/>
      <c r="Q177" s="6779"/>
      <c r="R177" s="6780"/>
      <c r="S177" s="6781" t="str">
        <f>INDEX(PT_DIFFERENTIATION_NUM_CS,MATCH(C177,PT_DIFFERENTIATION_CS_ID,0))</f>
        <v>1.8.3</v>
      </c>
      <c r="T177" s="6782" t="s">
        <v>606</v>
      </c>
      <c r="U177" s="6783"/>
      <c r="V177" s="6593"/>
      <c r="W177" s="6594"/>
      <c r="X177" s="6594"/>
      <c r="Y177" s="6594"/>
      <c r="Z177" s="6594"/>
      <c r="AA177" s="6594"/>
      <c r="AB177" s="6595"/>
      <c r="AC177" s="6593" t="str">
        <f>INDEX(PT_DIFFERENTIATION_CS,MATCH(C177,PT_DIFFERENTIATION_CS_ID,0))</f>
        <v>с. Черниговка</v>
      </c>
      <c r="AD177" s="6594"/>
      <c r="AE177" s="6594"/>
      <c r="AF177" s="6594"/>
      <c r="AG177" s="6594"/>
      <c r="AH177" s="6594"/>
      <c r="AI177" s="6594"/>
      <c r="AJ177" s="6593"/>
      <c r="AK177" s="6594"/>
      <c r="AL177" s="6594"/>
      <c r="AM177" s="6594"/>
      <c r="AN177" s="6594"/>
      <c r="AO177" s="6594"/>
      <c r="AP177" s="6595"/>
      <c r="AQ177" s="6593"/>
      <c r="AR177" s="6594"/>
      <c r="AS177" s="6594"/>
      <c r="AT177" s="6594"/>
      <c r="AU177" s="6594"/>
      <c r="AV177" s="6594"/>
      <c r="AW177" s="6595"/>
      <c r="AX177" s="6593"/>
      <c r="AY177" s="6594"/>
      <c r="AZ177" s="6594"/>
      <c r="BA177" s="6594"/>
      <c r="BB177" s="6594"/>
      <c r="BC177" s="6594"/>
      <c r="BD177" s="6595"/>
      <c r="BE177" s="6595"/>
      <c r="BF177" s="6784" t="s">
        <v>607</v>
      </c>
      <c r="BG177" s="6687"/>
      <c r="BH177" s="6785"/>
      <c r="BI177" s="6785" t="str">
        <f>IF(T177="","",T177)</f>
        <v>Наименование централизованной системы водоотведения</v>
      </c>
      <c r="BJ177" s="6785"/>
      <c r="BK177" s="6785"/>
      <c r="BL177" s="6591">
        <v>0</v>
      </c>
    </row>
    <row s="8606" customFormat="1" customHeight="1" ht="23.25">
      <c r="A178" s="6773"/>
      <c r="B178" s="6773"/>
      <c r="C178" s="6773"/>
      <c r="D178" s="6773"/>
      <c r="E178" s="6774"/>
      <c r="F178" s="6774"/>
      <c r="G178" s="6774" t="s">
        <v>103</v>
      </c>
      <c r="H178" s="6774"/>
      <c r="I178" s="6787" t="str">
        <f>S177&amp;".1"</f>
        <v>1.8.3.1</v>
      </c>
      <c r="J178" s="6773"/>
      <c r="K178" s="6773"/>
      <c r="L178" s="6776"/>
      <c r="M178" s="6788"/>
      <c r="N178" s="6788"/>
      <c r="O178" s="6788"/>
      <c r="P178" s="6789">
        <v>1</v>
      </c>
      <c r="Q178" s="6789"/>
      <c r="R178" s="6790"/>
      <c r="S178" s="6781" t="str">
        <f>$I178</f>
        <v>1.8.3.1</v>
      </c>
      <c r="T178" s="6791" t="s">
        <v>573</v>
      </c>
      <c r="U178" s="6783"/>
      <c r="V178" s="6598"/>
      <c r="W178" s="6599"/>
      <c r="X178" s="6599"/>
      <c r="Y178" s="6599"/>
      <c r="Z178" s="6599"/>
      <c r="AA178" s="6599"/>
      <c r="AB178" s="6600"/>
      <c r="AC178" s="6792"/>
      <c r="AD178" s="6793"/>
      <c r="AE178" s="6793"/>
      <c r="AF178" s="6793"/>
      <c r="AG178" s="6793"/>
      <c r="AH178" s="6793"/>
      <c r="AI178" s="6793"/>
      <c r="AJ178" s="6598"/>
      <c r="AK178" s="6599"/>
      <c r="AL178" s="6599"/>
      <c r="AM178" s="6599"/>
      <c r="AN178" s="6599"/>
      <c r="AO178" s="6599"/>
      <c r="AP178" s="6600"/>
      <c r="AQ178" s="6598"/>
      <c r="AR178" s="6599"/>
      <c r="AS178" s="6599"/>
      <c r="AT178" s="6599"/>
      <c r="AU178" s="6599"/>
      <c r="AV178" s="6599"/>
      <c r="AW178" s="6600"/>
      <c r="AX178" s="6598"/>
      <c r="AY178" s="6599"/>
      <c r="AZ178" s="6599"/>
      <c r="BA178" s="6599"/>
      <c r="BB178" s="6599"/>
      <c r="BC178" s="6599"/>
      <c r="BD178" s="6600"/>
      <c r="BE178" s="6794"/>
      <c r="BF178" s="6784" t="s">
        <v>574</v>
      </c>
      <c r="BG178" s="6687"/>
      <c r="BH178" s="6785"/>
      <c r="BI178" s="6785" t="str">
        <f>IF(T178="","",T178)</f>
        <v>Наименование признака дифференциации</v>
      </c>
      <c r="BJ178" s="6785"/>
      <c r="BK178" s="6785"/>
      <c r="BL178" s="6591">
        <v>0</v>
      </c>
    </row>
    <row s="8607" customFormat="1" customHeight="1" ht="23.25">
      <c r="A179" s="6773"/>
      <c r="B179" s="6773"/>
      <c r="C179" s="6773"/>
      <c r="D179" s="6773"/>
      <c r="E179" s="6774"/>
      <c r="F179" s="6774"/>
      <c r="G179" s="6774" t="s">
        <v>103</v>
      </c>
      <c r="H179" s="6774"/>
      <c r="I179" s="6796"/>
      <c r="J179" s="6787" t="str">
        <f>I178&amp;".1"</f>
        <v>1.8.3.1.1</v>
      </c>
      <c r="K179" s="6773"/>
      <c r="L179" s="6776" t="s">
        <v>499</v>
      </c>
      <c r="M179" s="6788"/>
      <c r="N179" s="6788"/>
      <c r="O179" s="6788"/>
      <c r="P179" s="6789"/>
      <c r="Q179" s="6789">
        <v>1</v>
      </c>
      <c r="R179" s="6797"/>
      <c r="S179" s="6781" t="str">
        <f>$J179</f>
        <v>1.8.3.1.1</v>
      </c>
      <c r="T179" s="6798" t="s">
        <v>500</v>
      </c>
      <c r="U179" s="6783"/>
      <c r="V179" s="6601"/>
      <c r="W179" s="6602"/>
      <c r="X179" s="6602"/>
      <c r="Y179" s="6602"/>
      <c r="Z179" s="6602"/>
      <c r="AA179" s="6602"/>
      <c r="AB179" s="6603"/>
      <c r="AC179" s="6601" t="s">
        <v>611</v>
      </c>
      <c r="AD179" s="6602"/>
      <c r="AE179" s="6602"/>
      <c r="AF179" s="6602"/>
      <c r="AG179" s="6602"/>
      <c r="AH179" s="6602"/>
      <c r="AI179" s="6602"/>
      <c r="AJ179" s="6601"/>
      <c r="AK179" s="6602"/>
      <c r="AL179" s="6602"/>
      <c r="AM179" s="6602"/>
      <c r="AN179" s="6602"/>
      <c r="AO179" s="6602"/>
      <c r="AP179" s="6603"/>
      <c r="AQ179" s="6601"/>
      <c r="AR179" s="6602"/>
      <c r="AS179" s="6602"/>
      <c r="AT179" s="6602"/>
      <c r="AU179" s="6602"/>
      <c r="AV179" s="6602"/>
      <c r="AW179" s="6603"/>
      <c r="AX179" s="6601"/>
      <c r="AY179" s="6602"/>
      <c r="AZ179" s="6602"/>
      <c r="BA179" s="6602"/>
      <c r="BB179" s="6602"/>
      <c r="BC179" s="6602"/>
      <c r="BD179" s="6603"/>
      <c r="BE179" s="6603"/>
      <c r="BF179" s="6799" t="s">
        <v>575</v>
      </c>
      <c r="BG179" s="6687"/>
      <c r="BH179" s="6785"/>
      <c r="BI179" s="6785" t="str">
        <f>IF(T179="","",T179)</f>
        <v>Группа потребителей</v>
      </c>
      <c r="BJ179" s="6785"/>
      <c r="BK179" s="6785"/>
      <c r="BL179" s="6591">
        <v>0</v>
      </c>
    </row>
    <row s="8608" customFormat="1" customHeight="1" ht="23.25">
      <c r="A180" s="6773"/>
      <c r="B180" s="6773"/>
      <c r="C180" s="6773"/>
      <c r="D180" s="6773"/>
      <c r="E180" s="6774"/>
      <c r="F180" s="6774"/>
      <c r="G180" s="6774" t="s">
        <v>103</v>
      </c>
      <c r="H180" s="6774"/>
      <c r="I180" s="6796"/>
      <c r="J180" s="6796"/>
      <c r="K180" s="6787" t="str">
        <f>J179&amp;".1"</f>
        <v>1.8.3.1.1.1</v>
      </c>
      <c r="L180" s="6776"/>
      <c r="M180" s="6788"/>
      <c r="N180" s="6788"/>
      <c r="O180" s="6788"/>
      <c r="P180" s="6789"/>
      <c r="Q180" s="6789"/>
      <c r="R180" s="6797">
        <v>1</v>
      </c>
      <c r="S180" s="6781" t="str">
        <f>$K180</f>
        <v>1.8.3.1.1.1</v>
      </c>
      <c r="T180" s="6801" t="s">
        <v>569</v>
      </c>
      <c r="U180" s="6783"/>
      <c r="V180" s="6604"/>
      <c r="W180" s="6604"/>
      <c r="X180" s="6605"/>
      <c r="Y180" s="6606"/>
      <c r="Z180" s="6607" t="s">
        <v>66</v>
      </c>
      <c r="AA180" s="6606"/>
      <c r="AB180" s="6607" t="s">
        <v>66</v>
      </c>
      <c r="AC180" s="6604">
        <v>50.24</v>
      </c>
      <c r="AD180" s="6604"/>
      <c r="AE180" s="6605"/>
      <c r="AF180" s="6606">
        <v>45658.61620370371</v>
      </c>
      <c r="AG180" s="6607" t="s">
        <v>66</v>
      </c>
      <c r="AH180" s="6707">
        <v>46022.616481481484</v>
      </c>
      <c r="AI180" s="6607" t="s">
        <v>66</v>
      </c>
      <c r="AJ180" s="6604">
        <v>46.97</v>
      </c>
      <c r="AK180" s="6604"/>
      <c r="AL180" s="6605"/>
      <c r="AM180" s="6606">
        <v>46023.62248842593</v>
      </c>
      <c r="AN180" s="6607" t="s">
        <v>66</v>
      </c>
      <c r="AO180" s="6606">
        <v>46387.62267361111</v>
      </c>
      <c r="AP180" s="6607" t="s">
        <v>66</v>
      </c>
      <c r="AQ180" s="6604">
        <v>48.28</v>
      </c>
      <c r="AR180" s="6604"/>
      <c r="AS180" s="6605"/>
      <c r="AT180" s="6606">
        <v>46388.62280092593</v>
      </c>
      <c r="AU180" s="6607" t="s">
        <v>66</v>
      </c>
      <c r="AV180" s="6606">
        <v>46752.622928240744</v>
      </c>
      <c r="AW180" s="6607" t="s">
        <v>66</v>
      </c>
      <c r="AX180" s="6604">
        <v>49.64</v>
      </c>
      <c r="AY180" s="6604"/>
      <c r="AZ180" s="6605"/>
      <c r="BA180" s="6606">
        <v>46753.623090277775</v>
      </c>
      <c r="BB180" s="6607" t="s">
        <v>66</v>
      </c>
      <c r="BC180" s="6606">
        <v>47118.623240740744</v>
      </c>
      <c r="BD180" s="6607" t="s">
        <v>66</v>
      </c>
      <c r="BE180" s="6802"/>
      <c r="BF180" s="68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180" s="6687">
        <f>STRCHECKDATE(V181:BE181)</f>
      </c>
      <c r="BH180" s="6785"/>
      <c r="BI180" s="6785" t="str">
        <f>IF(T180="","",T180)</f>
        <v>без НДС</v>
      </c>
      <c r="BJ180" s="6785"/>
      <c r="BK180" s="6785"/>
      <c r="BL180" s="6591">
        <v>0</v>
      </c>
    </row>
    <row s="8609" customFormat="1" customHeight="1" ht="14.25">
      <c r="A181" s="6773"/>
      <c r="B181" s="6773"/>
      <c r="C181" s="6773"/>
      <c r="D181" s="6773"/>
      <c r="E181" s="6774"/>
      <c r="F181" s="6774"/>
      <c r="G181" s="6774" t="s">
        <v>103</v>
      </c>
      <c r="H181" s="6774"/>
      <c r="I181" s="6796"/>
      <c r="J181" s="6796"/>
      <c r="K181" s="6787"/>
      <c r="L181" s="6776"/>
      <c r="M181" s="6788"/>
      <c r="N181" s="6788"/>
      <c r="O181" s="6788"/>
      <c r="P181" s="6789"/>
      <c r="Q181" s="6789"/>
      <c r="R181" s="6797"/>
      <c r="S181" s="6805"/>
      <c r="T181" s="6783"/>
      <c r="U181" s="6783"/>
      <c r="V181" s="6609"/>
      <c r="W181" s="6609"/>
      <c r="X181" s="6610" t="str">
        <f>Y180&amp;"-"&amp;AA180</f>
        <v>-</v>
      </c>
      <c r="Y181" s="6611"/>
      <c r="Z181" s="6607"/>
      <c r="AA181" s="6611"/>
      <c r="AB181" s="6607"/>
      <c r="AC181" s="6609"/>
      <c r="AD181" s="6609"/>
      <c r="AE181" s="6610" t="str">
        <f>AF180&amp;"-"&amp;AH180</f>
        <v>45658.61620370371-46022.616481481484</v>
      </c>
      <c r="AF181" s="6611"/>
      <c r="AG181" s="6607"/>
      <c r="AH181" s="6708"/>
      <c r="AI181" s="6607"/>
      <c r="AJ181" s="6609"/>
      <c r="AK181" s="6609"/>
      <c r="AL181" s="6610" t="str">
        <f>AM180&amp;"-"&amp;AO180</f>
        <v>46023.62248842593-46387.62267361111</v>
      </c>
      <c r="AM181" s="6611"/>
      <c r="AN181" s="6607"/>
      <c r="AO181" s="6611"/>
      <c r="AP181" s="6607"/>
      <c r="AQ181" s="6609"/>
      <c r="AR181" s="6609"/>
      <c r="AS181" s="6610" t="str">
        <f>AT180&amp;"-"&amp;AV180</f>
        <v>46388.62280092593-46752.622928240744</v>
      </c>
      <c r="AT181" s="6611"/>
      <c r="AU181" s="6607"/>
      <c r="AV181" s="6611"/>
      <c r="AW181" s="6607"/>
      <c r="AX181" s="6609"/>
      <c r="AY181" s="6609"/>
      <c r="AZ181" s="6610" t="str">
        <f>BA180&amp;"-"&amp;BC180</f>
        <v>46753.623090277775-47118.623240740744</v>
      </c>
      <c r="BA181" s="6611"/>
      <c r="BB181" s="6607"/>
      <c r="BC181" s="6611"/>
      <c r="BD181" s="6607"/>
      <c r="BE181" s="6806"/>
      <c r="BF181" s="6803"/>
      <c r="BG181" s="6687"/>
      <c r="BH181" s="6785"/>
      <c r="BI181" s="6785" t="str">
        <f>IF(T181="","",T181)</f>
        <v/>
      </c>
      <c r="BJ181" s="6785"/>
      <c r="BK181" s="6785"/>
      <c r="BL181" s="6591">
        <v>0</v>
      </c>
    </row>
    <row s="8610" customFormat="1" customHeight="1" ht="21">
      <c r="A182" s="6773"/>
      <c r="B182" s="6773"/>
      <c r="C182" s="6773"/>
      <c r="D182" s="6773"/>
      <c r="E182" s="6774"/>
      <c r="F182" s="6774"/>
      <c r="G182" s="6774" t="s">
        <v>103</v>
      </c>
      <c r="H182" s="6774"/>
      <c r="I182" s="6796"/>
      <c r="J182" s="6787"/>
      <c r="K182" s="6773"/>
      <c r="L182" s="6776"/>
      <c r="M182" s="6788"/>
      <c r="N182" s="6788"/>
      <c r="O182" s="6788"/>
      <c r="P182" s="6789"/>
      <c r="Q182" s="6789"/>
      <c r="R182" s="6790"/>
      <c r="S182" s="8611"/>
      <c r="T182" s="8612" t="s">
        <v>576</v>
      </c>
      <c r="U182" s="8613"/>
      <c r="V182" s="8614"/>
      <c r="W182" s="8615"/>
      <c r="X182" s="8616"/>
      <c r="Y182" s="8617"/>
      <c r="Z182" s="8618"/>
      <c r="AA182" s="8619"/>
      <c r="AB182" s="8620"/>
      <c r="AC182" s="8621"/>
      <c r="AD182" s="8622"/>
      <c r="AE182" s="8623"/>
      <c r="AF182" s="8624"/>
      <c r="AG182" s="8625"/>
      <c r="AH182" s="8626"/>
      <c r="AI182" s="8627"/>
      <c r="AJ182" s="8628"/>
      <c r="AK182" s="8629"/>
      <c r="AL182" s="8630"/>
      <c r="AM182" s="8631"/>
      <c r="AN182" s="8632"/>
      <c r="AO182" s="8633"/>
      <c r="AP182" s="8634"/>
      <c r="AQ182" s="8635"/>
      <c r="AR182" s="8636"/>
      <c r="AS182" s="8637"/>
      <c r="AT182" s="8638"/>
      <c r="AU182" s="8639"/>
      <c r="AV182" s="8640"/>
      <c r="AW182" s="8641"/>
      <c r="AX182" s="8642"/>
      <c r="AY182" s="8643"/>
      <c r="AZ182" s="8644"/>
      <c r="BA182" s="8645"/>
      <c r="BB182" s="8646"/>
      <c r="BC182" s="8647"/>
      <c r="BD182" s="8648"/>
      <c r="BE182" s="8649"/>
      <c r="BF182" s="6784" t="s">
        <v>577</v>
      </c>
      <c r="BG182" s="6687"/>
      <c r="BH182" s="6785"/>
      <c r="BI182" s="6785" t="str">
        <f>IF(T182="","",T182)</f>
        <v>Добавить значение признака дифференциации</v>
      </c>
      <c r="BJ182" s="6785"/>
      <c r="BK182" s="6785"/>
      <c r="BL182" s="6591">
        <v>0</v>
      </c>
    </row>
    <row s="8650" customFormat="1" customHeight="1" ht="21">
      <c r="A183" s="6773"/>
      <c r="B183" s="6773"/>
      <c r="C183" s="6773"/>
      <c r="D183" s="6773"/>
      <c r="E183" s="6774"/>
      <c r="F183" s="6774"/>
      <c r="G183" s="6774" t="s">
        <v>103</v>
      </c>
      <c r="H183" s="6774"/>
      <c r="I183" s="6787"/>
      <c r="J183" s="6773"/>
      <c r="K183" s="6773"/>
      <c r="L183" s="6776"/>
      <c r="M183" s="6788"/>
      <c r="N183" s="6788"/>
      <c r="O183" s="6788"/>
      <c r="P183" s="6789"/>
      <c r="Q183" s="6789"/>
      <c r="R183" s="6790"/>
      <c r="S183" s="8651"/>
      <c r="T183" s="8652" t="s">
        <v>505</v>
      </c>
      <c r="U183" s="8653"/>
      <c r="V183" s="8654"/>
      <c r="W183" s="8655"/>
      <c r="X183" s="8656"/>
      <c r="Y183" s="8657"/>
      <c r="Z183" s="8658"/>
      <c r="AA183" s="8659"/>
      <c r="AB183" s="8660"/>
      <c r="AC183" s="8661"/>
      <c r="AD183" s="8662"/>
      <c r="AE183" s="8663"/>
      <c r="AF183" s="8664"/>
      <c r="AG183" s="8665"/>
      <c r="AH183" s="8666"/>
      <c r="AI183" s="8667"/>
      <c r="AJ183" s="8668"/>
      <c r="AK183" s="8669"/>
      <c r="AL183" s="8670"/>
      <c r="AM183" s="8671"/>
      <c r="AN183" s="8672"/>
      <c r="AO183" s="8673"/>
      <c r="AP183" s="8674"/>
      <c r="AQ183" s="8675"/>
      <c r="AR183" s="8676"/>
      <c r="AS183" s="8677"/>
      <c r="AT183" s="8678"/>
      <c r="AU183" s="8679"/>
      <c r="AV183" s="8680"/>
      <c r="AW183" s="8681"/>
      <c r="AX183" s="8682"/>
      <c r="AY183" s="8683"/>
      <c r="AZ183" s="8684"/>
      <c r="BA183" s="8685"/>
      <c r="BB183" s="8686"/>
      <c r="BC183" s="8687"/>
      <c r="BD183" s="8688"/>
      <c r="BE183" s="8689"/>
      <c r="BF183" s="8690"/>
      <c r="BG183" s="6687"/>
      <c r="BH183" s="6785"/>
      <c r="BI183" s="6785" t="str">
        <f>IF(T183="","",T183)</f>
        <v>Добавить группу потребителей</v>
      </c>
      <c r="BJ183" s="6785"/>
      <c r="BK183" s="6785"/>
      <c r="BL183" s="6591">
        <v>0</v>
      </c>
    </row>
    <row s="8691" customFormat="1" customHeight="1" ht="21">
      <c r="A184" s="6773"/>
      <c r="B184" s="6773"/>
      <c r="C184" s="6773"/>
      <c r="D184" s="6773"/>
      <c r="E184" s="6774"/>
      <c r="F184" s="6774"/>
      <c r="G184" s="6774" t="s">
        <v>103</v>
      </c>
      <c r="H184" s="6775"/>
      <c r="I184" s="6773"/>
      <c r="J184" s="6773"/>
      <c r="K184" s="6773"/>
      <c r="L184" s="6776"/>
      <c r="M184" s="6777"/>
      <c r="N184" s="6777"/>
      <c r="O184" s="6678"/>
      <c r="P184" s="6889"/>
      <c r="Q184" s="6890"/>
      <c r="R184" s="6891"/>
      <c r="S184" s="8692"/>
      <c r="T184" s="8693" t="s">
        <v>578</v>
      </c>
      <c r="U184" s="8694"/>
      <c r="V184" s="8695"/>
      <c r="W184" s="8696"/>
      <c r="X184" s="8697"/>
      <c r="Y184" s="8698"/>
      <c r="Z184" s="8699"/>
      <c r="AA184" s="8700"/>
      <c r="AB184" s="8701"/>
      <c r="AC184" s="8702"/>
      <c r="AD184" s="8703"/>
      <c r="AE184" s="8704"/>
      <c r="AF184" s="8705"/>
      <c r="AG184" s="8706"/>
      <c r="AH184" s="8707"/>
      <c r="AI184" s="8708"/>
      <c r="AJ184" s="8709"/>
      <c r="AK184" s="8710"/>
      <c r="AL184" s="8711"/>
      <c r="AM184" s="8712"/>
      <c r="AN184" s="8713"/>
      <c r="AO184" s="8714"/>
      <c r="AP184" s="8715"/>
      <c r="AQ184" s="8716"/>
      <c r="AR184" s="8717"/>
      <c r="AS184" s="8718"/>
      <c r="AT184" s="8719"/>
      <c r="AU184" s="8720"/>
      <c r="AV184" s="8721"/>
      <c r="AW184" s="8722"/>
      <c r="AX184" s="8723"/>
      <c r="AY184" s="8724"/>
      <c r="AZ184" s="8725"/>
      <c r="BA184" s="8726"/>
      <c r="BB184" s="8727"/>
      <c r="BC184" s="8728"/>
      <c r="BD184" s="8729"/>
      <c r="BE184" s="8730"/>
      <c r="BF184" s="8731"/>
      <c r="BG184" s="6687"/>
      <c r="BH184" s="6785"/>
      <c r="BI184" s="6785" t="str">
        <f>IF(T184="","",T184)</f>
        <v>Добавить наименование признака дифференциации</v>
      </c>
      <c r="BJ184" s="6785"/>
      <c r="BK184" s="6785"/>
      <c r="BL184" s="6591">
        <v>0</v>
      </c>
    </row>
    <row s="8732" customFormat="1" customHeight="1" ht="23.25">
      <c r="A185" s="6773"/>
      <c r="B185" s="6773"/>
      <c r="C185" s="6773" t="s">
        <v>354</v>
      </c>
      <c r="D185" s="6773"/>
      <c r="E185" s="6774"/>
      <c r="F185" s="6774"/>
      <c r="G185" s="6775" t="s">
        <v>91</v>
      </c>
      <c r="H185" s="6773"/>
      <c r="I185" s="6773"/>
      <c r="J185" s="6773"/>
      <c r="K185" s="6773"/>
      <c r="L185" s="6776"/>
      <c r="M185" s="6777"/>
      <c r="N185" s="6777"/>
      <c r="O185" s="6777"/>
      <c r="P185" s="6778"/>
      <c r="Q185" s="6779"/>
      <c r="R185" s="6780"/>
      <c r="S185" s="6781" t="str">
        <f>INDEX(PT_DIFFERENTIATION_NUM_CS,MATCH(C185,PT_DIFFERENTIATION_CS_ID,0))</f>
        <v>1.8.4</v>
      </c>
      <c r="T185" s="6782" t="s">
        <v>606</v>
      </c>
      <c r="U185" s="6783"/>
      <c r="V185" s="6593"/>
      <c r="W185" s="6594"/>
      <c r="X185" s="6594"/>
      <c r="Y185" s="6594"/>
      <c r="Z185" s="6594"/>
      <c r="AA185" s="6594"/>
      <c r="AB185" s="6595"/>
      <c r="AC185" s="6593" t="str">
        <f>INDEX(PT_DIFFERENTIATION_CS,MATCH(C185,PT_DIFFERENTIATION_CS_ID,0))</f>
        <v>с. Снегуровка</v>
      </c>
      <c r="AD185" s="6594"/>
      <c r="AE185" s="6594"/>
      <c r="AF185" s="6594"/>
      <c r="AG185" s="6594"/>
      <c r="AH185" s="6594"/>
      <c r="AI185" s="6594"/>
      <c r="AJ185" s="6593"/>
      <c r="AK185" s="6594"/>
      <c r="AL185" s="6594"/>
      <c r="AM185" s="6594"/>
      <c r="AN185" s="6594"/>
      <c r="AO185" s="6594"/>
      <c r="AP185" s="6595"/>
      <c r="AQ185" s="6593"/>
      <c r="AR185" s="6594"/>
      <c r="AS185" s="6594"/>
      <c r="AT185" s="6594"/>
      <c r="AU185" s="6594"/>
      <c r="AV185" s="6594"/>
      <c r="AW185" s="6595"/>
      <c r="AX185" s="6593"/>
      <c r="AY185" s="6594"/>
      <c r="AZ185" s="6594"/>
      <c r="BA185" s="6594"/>
      <c r="BB185" s="6594"/>
      <c r="BC185" s="6594"/>
      <c r="BD185" s="6595"/>
      <c r="BE185" s="6595"/>
      <c r="BF185" s="6784" t="s">
        <v>607</v>
      </c>
      <c r="BG185" s="6687"/>
      <c r="BH185" s="6785"/>
      <c r="BI185" s="6785" t="str">
        <f>IF(T185="","",T185)</f>
        <v>Наименование централизованной системы водоотведения</v>
      </c>
      <c r="BJ185" s="6785"/>
      <c r="BK185" s="6785"/>
      <c r="BL185" s="6591">
        <v>0</v>
      </c>
    </row>
    <row s="8733" customFormat="1" customHeight="1" ht="23.25">
      <c r="A186" s="6773"/>
      <c r="B186" s="6773"/>
      <c r="C186" s="6773"/>
      <c r="D186" s="6773"/>
      <c r="E186" s="6774"/>
      <c r="F186" s="6774"/>
      <c r="G186" s="6774" t="s">
        <v>90</v>
      </c>
      <c r="H186" s="6774"/>
      <c r="I186" s="6787" t="str">
        <f>S185&amp;".1"</f>
        <v>1.8.4.1</v>
      </c>
      <c r="J186" s="6773"/>
      <c r="K186" s="6773"/>
      <c r="L186" s="6776"/>
      <c r="M186" s="6788"/>
      <c r="N186" s="6788"/>
      <c r="O186" s="6788"/>
      <c r="P186" s="6789">
        <v>1</v>
      </c>
      <c r="Q186" s="6789"/>
      <c r="R186" s="6790"/>
      <c r="S186" s="6781" t="str">
        <f>$I186</f>
        <v>1.8.4.1</v>
      </c>
      <c r="T186" s="6791" t="s">
        <v>573</v>
      </c>
      <c r="U186" s="6783"/>
      <c r="V186" s="6598"/>
      <c r="W186" s="6599"/>
      <c r="X186" s="6599"/>
      <c r="Y186" s="6599"/>
      <c r="Z186" s="6599"/>
      <c r="AA186" s="6599"/>
      <c r="AB186" s="6600"/>
      <c r="AC186" s="6792"/>
      <c r="AD186" s="6793"/>
      <c r="AE186" s="6793"/>
      <c r="AF186" s="6793"/>
      <c r="AG186" s="6793"/>
      <c r="AH186" s="6793"/>
      <c r="AI186" s="6793"/>
      <c r="AJ186" s="6598"/>
      <c r="AK186" s="6599"/>
      <c r="AL186" s="6599"/>
      <c r="AM186" s="6599"/>
      <c r="AN186" s="6599"/>
      <c r="AO186" s="6599"/>
      <c r="AP186" s="6600"/>
      <c r="AQ186" s="6598"/>
      <c r="AR186" s="6599"/>
      <c r="AS186" s="6599"/>
      <c r="AT186" s="6599"/>
      <c r="AU186" s="6599"/>
      <c r="AV186" s="6599"/>
      <c r="AW186" s="6600"/>
      <c r="AX186" s="6598"/>
      <c r="AY186" s="6599"/>
      <c r="AZ186" s="6599"/>
      <c r="BA186" s="6599"/>
      <c r="BB186" s="6599"/>
      <c r="BC186" s="6599"/>
      <c r="BD186" s="6600"/>
      <c r="BE186" s="6794"/>
      <c r="BF186" s="6784" t="s">
        <v>574</v>
      </c>
      <c r="BG186" s="6687"/>
      <c r="BH186" s="6785"/>
      <c r="BI186" s="6785" t="str">
        <f>IF(T186="","",T186)</f>
        <v>Наименование признака дифференциации</v>
      </c>
      <c r="BJ186" s="6785"/>
      <c r="BK186" s="6785"/>
      <c r="BL186" s="6591">
        <v>0</v>
      </c>
    </row>
    <row s="8734" customFormat="1" customHeight="1" ht="23.25">
      <c r="A187" s="6773"/>
      <c r="B187" s="6773"/>
      <c r="C187" s="6773"/>
      <c r="D187" s="6773"/>
      <c r="E187" s="6774"/>
      <c r="F187" s="6774"/>
      <c r="G187" s="6774" t="s">
        <v>90</v>
      </c>
      <c r="H187" s="6774"/>
      <c r="I187" s="6796"/>
      <c r="J187" s="6787" t="str">
        <f>I186&amp;".1"</f>
        <v>1.8.4.1.1</v>
      </c>
      <c r="K187" s="6773"/>
      <c r="L187" s="6776" t="s">
        <v>499</v>
      </c>
      <c r="M187" s="6788"/>
      <c r="N187" s="6788"/>
      <c r="O187" s="6788"/>
      <c r="P187" s="6789"/>
      <c r="Q187" s="6789">
        <v>1</v>
      </c>
      <c r="R187" s="6797"/>
      <c r="S187" s="6781" t="str">
        <f>$J187</f>
        <v>1.8.4.1.1</v>
      </c>
      <c r="T187" s="6798" t="s">
        <v>500</v>
      </c>
      <c r="U187" s="6783"/>
      <c r="V187" s="6601"/>
      <c r="W187" s="6602"/>
      <c r="X187" s="6602"/>
      <c r="Y187" s="6602"/>
      <c r="Z187" s="6602"/>
      <c r="AA187" s="6602"/>
      <c r="AB187" s="6603"/>
      <c r="AC187" s="6601" t="s">
        <v>611</v>
      </c>
      <c r="AD187" s="6602"/>
      <c r="AE187" s="6602"/>
      <c r="AF187" s="6602"/>
      <c r="AG187" s="6602"/>
      <c r="AH187" s="6602"/>
      <c r="AI187" s="6602"/>
      <c r="AJ187" s="6601"/>
      <c r="AK187" s="6602"/>
      <c r="AL187" s="6602"/>
      <c r="AM187" s="6602"/>
      <c r="AN187" s="6602"/>
      <c r="AO187" s="6602"/>
      <c r="AP187" s="6603"/>
      <c r="AQ187" s="6601"/>
      <c r="AR187" s="6602"/>
      <c r="AS187" s="6602"/>
      <c r="AT187" s="6602"/>
      <c r="AU187" s="6602"/>
      <c r="AV187" s="6602"/>
      <c r="AW187" s="6603"/>
      <c r="AX187" s="6601"/>
      <c r="AY187" s="6602"/>
      <c r="AZ187" s="6602"/>
      <c r="BA187" s="6602"/>
      <c r="BB187" s="6602"/>
      <c r="BC187" s="6602"/>
      <c r="BD187" s="6603"/>
      <c r="BE187" s="6603"/>
      <c r="BF187" s="6799" t="s">
        <v>575</v>
      </c>
      <c r="BG187" s="6687"/>
      <c r="BH187" s="6785"/>
      <c r="BI187" s="6785" t="str">
        <f>IF(T187="","",T187)</f>
        <v>Группа потребителей</v>
      </c>
      <c r="BJ187" s="6785"/>
      <c r="BK187" s="6785"/>
      <c r="BL187" s="6591">
        <v>0</v>
      </c>
    </row>
    <row s="8735" customFormat="1" customHeight="1" ht="23.25">
      <c r="A188" s="6773"/>
      <c r="B188" s="6773"/>
      <c r="C188" s="6773"/>
      <c r="D188" s="6773"/>
      <c r="E188" s="6774"/>
      <c r="F188" s="6774"/>
      <c r="G188" s="6774" t="s">
        <v>90</v>
      </c>
      <c r="H188" s="6774"/>
      <c r="I188" s="6796"/>
      <c r="J188" s="6796"/>
      <c r="K188" s="6787" t="str">
        <f>J187&amp;".1"</f>
        <v>1.8.4.1.1.1</v>
      </c>
      <c r="L188" s="6776"/>
      <c r="M188" s="6788"/>
      <c r="N188" s="6788"/>
      <c r="O188" s="6788"/>
      <c r="P188" s="6789"/>
      <c r="Q188" s="6789"/>
      <c r="R188" s="6797">
        <v>1</v>
      </c>
      <c r="S188" s="6781" t="str">
        <f>$K188</f>
        <v>1.8.4.1.1.1</v>
      </c>
      <c r="T188" s="6801" t="s">
        <v>569</v>
      </c>
      <c r="U188" s="6783"/>
      <c r="V188" s="6604"/>
      <c r="W188" s="6604"/>
      <c r="X188" s="6605"/>
      <c r="Y188" s="6606"/>
      <c r="Z188" s="6607" t="s">
        <v>66</v>
      </c>
      <c r="AA188" s="6606"/>
      <c r="AB188" s="6607" t="s">
        <v>66</v>
      </c>
      <c r="AC188" s="6604">
        <v>67.1</v>
      </c>
      <c r="AD188" s="6604"/>
      <c r="AE188" s="6605"/>
      <c r="AF188" s="6606">
        <v>45658.616585648146</v>
      </c>
      <c r="AG188" s="6607" t="s">
        <v>66</v>
      </c>
      <c r="AH188" s="6707">
        <v>46022.61672453704</v>
      </c>
      <c r="AI188" s="6607" t="s">
        <v>66</v>
      </c>
      <c r="AJ188" s="6604">
        <v>62.93</v>
      </c>
      <c r="AK188" s="6604"/>
      <c r="AL188" s="6605"/>
      <c r="AM188" s="6606">
        <v>46023.62111111111</v>
      </c>
      <c r="AN188" s="6607" t="s">
        <v>66</v>
      </c>
      <c r="AO188" s="6606">
        <v>46387.62123842593</v>
      </c>
      <c r="AP188" s="6607" t="s">
        <v>66</v>
      </c>
      <c r="AQ188" s="6604">
        <v>64.68</v>
      </c>
      <c r="AR188" s="6604"/>
      <c r="AS188" s="6605"/>
      <c r="AT188" s="6606">
        <v>46388.62164351852</v>
      </c>
      <c r="AU188" s="6607" t="s">
        <v>66</v>
      </c>
      <c r="AV188" s="6606">
        <v>46752.621770833335</v>
      </c>
      <c r="AW188" s="6607" t="s">
        <v>66</v>
      </c>
      <c r="AX188" s="6604">
        <v>66.48</v>
      </c>
      <c r="AY188" s="6604"/>
      <c r="AZ188" s="6605"/>
      <c r="BA188" s="6606">
        <v>46753.6219212963</v>
      </c>
      <c r="BB188" s="6607" t="s">
        <v>66</v>
      </c>
      <c r="BC188" s="6606">
        <v>47118.622025462966</v>
      </c>
      <c r="BD188" s="6607" t="s">
        <v>66</v>
      </c>
      <c r="BE188" s="6802"/>
      <c r="BF188" s="68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188" s="6687">
        <f>STRCHECKDATE(V189:BE189)</f>
      </c>
      <c r="BH188" s="6785"/>
      <c r="BI188" s="6785" t="str">
        <f>IF(T188="","",T188)</f>
        <v>без НДС</v>
      </c>
      <c r="BJ188" s="6785"/>
      <c r="BK188" s="6785"/>
      <c r="BL188" s="6591">
        <v>0</v>
      </c>
    </row>
    <row s="8736" customFormat="1" customHeight="1" ht="14.25">
      <c r="A189" s="6773"/>
      <c r="B189" s="6773"/>
      <c r="C189" s="6773"/>
      <c r="D189" s="6773"/>
      <c r="E189" s="6774"/>
      <c r="F189" s="6774"/>
      <c r="G189" s="6774" t="s">
        <v>90</v>
      </c>
      <c r="H189" s="6774"/>
      <c r="I189" s="6796"/>
      <c r="J189" s="6796"/>
      <c r="K189" s="6787"/>
      <c r="L189" s="6776"/>
      <c r="M189" s="6788"/>
      <c r="N189" s="6788"/>
      <c r="O189" s="6788"/>
      <c r="P189" s="6789"/>
      <c r="Q189" s="6789"/>
      <c r="R189" s="6797"/>
      <c r="S189" s="6805"/>
      <c r="T189" s="6783"/>
      <c r="U189" s="6783"/>
      <c r="V189" s="6609"/>
      <c r="W189" s="6609"/>
      <c r="X189" s="6610" t="str">
        <f>Y188&amp;"-"&amp;AA188</f>
        <v>-</v>
      </c>
      <c r="Y189" s="6611"/>
      <c r="Z189" s="6607"/>
      <c r="AA189" s="6611"/>
      <c r="AB189" s="6607"/>
      <c r="AC189" s="6609"/>
      <c r="AD189" s="6609"/>
      <c r="AE189" s="6610" t="str">
        <f>AF188&amp;"-"&amp;AH188</f>
        <v>45658.616585648146-46022.61672453704</v>
      </c>
      <c r="AF189" s="6611"/>
      <c r="AG189" s="6607"/>
      <c r="AH189" s="6708"/>
      <c r="AI189" s="6607"/>
      <c r="AJ189" s="6609"/>
      <c r="AK189" s="6609"/>
      <c r="AL189" s="6610" t="str">
        <f>AM188&amp;"-"&amp;AO188</f>
        <v>46023.62111111111-46387.62123842593</v>
      </c>
      <c r="AM189" s="6611"/>
      <c r="AN189" s="6607"/>
      <c r="AO189" s="6611"/>
      <c r="AP189" s="6607"/>
      <c r="AQ189" s="6609"/>
      <c r="AR189" s="6609"/>
      <c r="AS189" s="6610" t="str">
        <f>AT188&amp;"-"&amp;AV188</f>
        <v>46388.62164351852-46752.621770833335</v>
      </c>
      <c r="AT189" s="6611"/>
      <c r="AU189" s="6607"/>
      <c r="AV189" s="6611"/>
      <c r="AW189" s="6607"/>
      <c r="AX189" s="6609"/>
      <c r="AY189" s="6609"/>
      <c r="AZ189" s="6610" t="str">
        <f>BA188&amp;"-"&amp;BC188</f>
        <v>46753.6219212963-47118.622025462966</v>
      </c>
      <c r="BA189" s="6611"/>
      <c r="BB189" s="6607"/>
      <c r="BC189" s="6611"/>
      <c r="BD189" s="6607"/>
      <c r="BE189" s="6806"/>
      <c r="BF189" s="6803"/>
      <c r="BG189" s="6687"/>
      <c r="BH189" s="6785"/>
      <c r="BI189" s="6785" t="str">
        <f>IF(T189="","",T189)</f>
        <v/>
      </c>
      <c r="BJ189" s="6785"/>
      <c r="BK189" s="6785"/>
      <c r="BL189" s="6591">
        <v>0</v>
      </c>
    </row>
    <row s="8737" customFormat="1" customHeight="1" ht="21">
      <c r="A190" s="6773"/>
      <c r="B190" s="6773"/>
      <c r="C190" s="6773"/>
      <c r="D190" s="6773"/>
      <c r="E190" s="6774"/>
      <c r="F190" s="6774"/>
      <c r="G190" s="6774" t="s">
        <v>90</v>
      </c>
      <c r="H190" s="6774"/>
      <c r="I190" s="6796"/>
      <c r="J190" s="6787"/>
      <c r="K190" s="6773"/>
      <c r="L190" s="6776"/>
      <c r="M190" s="6788"/>
      <c r="N190" s="6788"/>
      <c r="O190" s="6788"/>
      <c r="P190" s="6789"/>
      <c r="Q190" s="6789"/>
      <c r="R190" s="6790"/>
      <c r="S190" s="8738"/>
      <c r="T190" s="8739" t="s">
        <v>576</v>
      </c>
      <c r="U190" s="8740"/>
      <c r="V190" s="8741"/>
      <c r="W190" s="8742"/>
      <c r="X190" s="8743"/>
      <c r="Y190" s="8744"/>
      <c r="Z190" s="8745"/>
      <c r="AA190" s="8746"/>
      <c r="AB190" s="8747"/>
      <c r="AC190" s="8748"/>
      <c r="AD190" s="8749"/>
      <c r="AE190" s="8750"/>
      <c r="AF190" s="8751"/>
      <c r="AG190" s="8752"/>
      <c r="AH190" s="8753"/>
      <c r="AI190" s="8754"/>
      <c r="AJ190" s="8755"/>
      <c r="AK190" s="8756"/>
      <c r="AL190" s="8757"/>
      <c r="AM190" s="8758"/>
      <c r="AN190" s="8759"/>
      <c r="AO190" s="8760"/>
      <c r="AP190" s="8761"/>
      <c r="AQ190" s="8762"/>
      <c r="AR190" s="8763"/>
      <c r="AS190" s="8764"/>
      <c r="AT190" s="8765"/>
      <c r="AU190" s="8766"/>
      <c r="AV190" s="8767"/>
      <c r="AW190" s="8768"/>
      <c r="AX190" s="8769"/>
      <c r="AY190" s="8770"/>
      <c r="AZ190" s="8771"/>
      <c r="BA190" s="8772"/>
      <c r="BB190" s="8773"/>
      <c r="BC190" s="8774"/>
      <c r="BD190" s="8775"/>
      <c r="BE190" s="8776"/>
      <c r="BF190" s="6784" t="s">
        <v>577</v>
      </c>
      <c r="BG190" s="6687"/>
      <c r="BH190" s="6785"/>
      <c r="BI190" s="6785" t="str">
        <f>IF(T190="","",T190)</f>
        <v>Добавить значение признака дифференциации</v>
      </c>
      <c r="BJ190" s="6785"/>
      <c r="BK190" s="6785"/>
      <c r="BL190" s="6591">
        <v>0</v>
      </c>
    </row>
    <row s="8777" customFormat="1" customHeight="1" ht="21">
      <c r="A191" s="6773"/>
      <c r="B191" s="6773"/>
      <c r="C191" s="6773"/>
      <c r="D191" s="6773"/>
      <c r="E191" s="6774"/>
      <c r="F191" s="6774"/>
      <c r="G191" s="6774" t="s">
        <v>90</v>
      </c>
      <c r="H191" s="6774"/>
      <c r="I191" s="6787"/>
      <c r="J191" s="6773"/>
      <c r="K191" s="6773"/>
      <c r="L191" s="6776"/>
      <c r="M191" s="6788"/>
      <c r="N191" s="6788"/>
      <c r="O191" s="6788"/>
      <c r="P191" s="6789"/>
      <c r="Q191" s="6789"/>
      <c r="R191" s="6790"/>
      <c r="S191" s="8778"/>
      <c r="T191" s="8779" t="s">
        <v>505</v>
      </c>
      <c r="U191" s="8780"/>
      <c r="V191" s="8781"/>
      <c r="W191" s="8782"/>
      <c r="X191" s="8783"/>
      <c r="Y191" s="8784"/>
      <c r="Z191" s="8785"/>
      <c r="AA191" s="8786"/>
      <c r="AB191" s="8787"/>
      <c r="AC191" s="8788"/>
      <c r="AD191" s="8789"/>
      <c r="AE191" s="8790"/>
      <c r="AF191" s="8791"/>
      <c r="AG191" s="8792"/>
      <c r="AH191" s="8793"/>
      <c r="AI191" s="8794"/>
      <c r="AJ191" s="8795"/>
      <c r="AK191" s="8796"/>
      <c r="AL191" s="8797"/>
      <c r="AM191" s="8798"/>
      <c r="AN191" s="8799"/>
      <c r="AO191" s="8800"/>
      <c r="AP191" s="8801"/>
      <c r="AQ191" s="8802"/>
      <c r="AR191" s="8803"/>
      <c r="AS191" s="8804"/>
      <c r="AT191" s="8805"/>
      <c r="AU191" s="8806"/>
      <c r="AV191" s="8807"/>
      <c r="AW191" s="8808"/>
      <c r="AX191" s="8809"/>
      <c r="AY191" s="8810"/>
      <c r="AZ191" s="8811"/>
      <c r="BA191" s="8812"/>
      <c r="BB191" s="8813"/>
      <c r="BC191" s="8814"/>
      <c r="BD191" s="8815"/>
      <c r="BE191" s="8816"/>
      <c r="BF191" s="8817"/>
      <c r="BG191" s="6687"/>
      <c r="BH191" s="6785"/>
      <c r="BI191" s="6785" t="str">
        <f>IF(T191="","",T191)</f>
        <v>Добавить группу потребителей</v>
      </c>
      <c r="BJ191" s="6785"/>
      <c r="BK191" s="6785"/>
      <c r="BL191" s="6591">
        <v>0</v>
      </c>
    </row>
    <row s="8818" customFormat="1" customHeight="1" ht="21">
      <c r="A192" s="6773"/>
      <c r="B192" s="6773"/>
      <c r="C192" s="6773"/>
      <c r="D192" s="6773"/>
      <c r="E192" s="6774"/>
      <c r="F192" s="6774"/>
      <c r="G192" s="6774" t="s">
        <v>90</v>
      </c>
      <c r="H192" s="6775"/>
      <c r="I192" s="6773"/>
      <c r="J192" s="6773"/>
      <c r="K192" s="6773"/>
      <c r="L192" s="6776"/>
      <c r="M192" s="6777"/>
      <c r="N192" s="6777"/>
      <c r="O192" s="6678"/>
      <c r="P192" s="6889"/>
      <c r="Q192" s="6890"/>
      <c r="R192" s="6891"/>
      <c r="S192" s="8819"/>
      <c r="T192" s="8820" t="s">
        <v>578</v>
      </c>
      <c r="U192" s="8821"/>
      <c r="V192" s="8822"/>
      <c r="W192" s="8823"/>
      <c r="X192" s="8824"/>
      <c r="Y192" s="8825"/>
      <c r="Z192" s="8826"/>
      <c r="AA192" s="8827"/>
      <c r="AB192" s="8828"/>
      <c r="AC192" s="8829"/>
      <c r="AD192" s="8830"/>
      <c r="AE192" s="8831"/>
      <c r="AF192" s="8832"/>
      <c r="AG192" s="8833"/>
      <c r="AH192" s="8834"/>
      <c r="AI192" s="8835"/>
      <c r="AJ192" s="8836"/>
      <c r="AK192" s="8837"/>
      <c r="AL192" s="8838"/>
      <c r="AM192" s="8839"/>
      <c r="AN192" s="8840"/>
      <c r="AO192" s="8841"/>
      <c r="AP192" s="8842"/>
      <c r="AQ192" s="8843"/>
      <c r="AR192" s="8844"/>
      <c r="AS192" s="8845"/>
      <c r="AT192" s="8846"/>
      <c r="AU192" s="8847"/>
      <c r="AV192" s="8848"/>
      <c r="AW192" s="8849"/>
      <c r="AX192" s="8850"/>
      <c r="AY192" s="8851"/>
      <c r="AZ192" s="8852"/>
      <c r="BA192" s="8853"/>
      <c r="BB192" s="8854"/>
      <c r="BC192" s="8855"/>
      <c r="BD192" s="8856"/>
      <c r="BE192" s="8857"/>
      <c r="BF192" s="8858"/>
      <c r="BG192" s="6687"/>
      <c r="BH192" s="6785"/>
      <c r="BI192" s="6785" t="str">
        <f>IF(T192="","",T192)</f>
        <v>Добавить наименование признака дифференциации</v>
      </c>
      <c r="BJ192" s="6785"/>
      <c r="BK192" s="6785"/>
      <c r="BL192" s="6591">
        <v>0</v>
      </c>
    </row>
    <row s="8859" customFormat="1" customHeight="1" ht="14.25">
      <c r="A193" s="7571"/>
      <c r="B193" s="7571"/>
      <c r="C193" s="7571"/>
      <c r="D193" s="7571"/>
      <c r="E193" s="6774"/>
      <c r="F193" s="6775" t="s">
        <v>93</v>
      </c>
      <c r="G193" s="7571"/>
      <c r="H193" s="7571"/>
      <c r="I193" s="7571"/>
      <c r="J193" s="7571"/>
      <c r="K193" s="7571"/>
      <c r="L193" s="7572"/>
      <c r="M193" s="7573"/>
      <c r="N193" s="7573"/>
      <c r="O193" s="6687"/>
      <c r="P193" s="7574"/>
      <c r="Q193" s="7575"/>
      <c r="R193" s="7574"/>
      <c r="S193" s="7576"/>
      <c r="T193" s="7577" t="s">
        <v>312</v>
      </c>
      <c r="U193" s="6676"/>
      <c r="V193" s="6676"/>
      <c r="W193" s="6676"/>
      <c r="X193" s="6676"/>
      <c r="Y193" s="6676"/>
      <c r="Z193" s="6676"/>
      <c r="AA193" s="6676"/>
      <c r="AB193" s="6676"/>
      <c r="AC193" s="6676"/>
      <c r="AD193" s="6676"/>
      <c r="AE193" s="6676"/>
      <c r="AF193" s="6676"/>
      <c r="AG193" s="6676"/>
      <c r="AH193" s="6676"/>
      <c r="AI193" s="6676"/>
      <c r="AJ193" s="6676"/>
      <c r="AK193" s="6676"/>
      <c r="AL193" s="6676"/>
      <c r="AM193" s="6676"/>
      <c r="AN193" s="6676"/>
      <c r="AO193" s="6676"/>
      <c r="AP193" s="6676"/>
      <c r="AQ193" s="6676"/>
      <c r="AR193" s="6676"/>
      <c r="AS193" s="6676"/>
      <c r="AT193" s="6676"/>
      <c r="AU193" s="6676"/>
      <c r="AV193" s="6676"/>
      <c r="AW193" s="6676"/>
      <c r="AX193" s="6676"/>
      <c r="AY193" s="6676"/>
      <c r="AZ193" s="6676"/>
      <c r="BA193" s="6676"/>
      <c r="BB193" s="6676"/>
      <c r="BC193" s="6676"/>
      <c r="BD193" s="6676"/>
      <c r="BE193" s="6676"/>
      <c r="BF193" s="6676"/>
      <c r="BG193" s="6687"/>
      <c r="BH193" s="6785"/>
      <c r="BI193" s="6785" t="str">
        <f>IF(T193="","",T193)</f>
        <v>Добавить централизованную систему для дифференциации</v>
      </c>
      <c r="BJ193" s="6785"/>
      <c r="BK193" s="6785"/>
      <c r="BL193" s="6687">
        <v>0</v>
      </c>
    </row>
    <row s="8860" customFormat="1" customHeight="1" ht="23.25">
      <c r="A194" s="6773"/>
      <c r="B194" s="6773" t="s">
        <v>357</v>
      </c>
      <c r="C194" s="6773"/>
      <c r="D194" s="6773"/>
      <c r="E194" s="6774"/>
      <c r="F194" s="6775" t="s">
        <v>134</v>
      </c>
      <c r="G194" s="6773"/>
      <c r="H194" s="6773"/>
      <c r="I194" s="6773"/>
      <c r="J194" s="6773"/>
      <c r="K194" s="6773"/>
      <c r="L194" s="6776"/>
      <c r="M194" s="6777"/>
      <c r="N194" s="6777"/>
      <c r="O194" s="6777"/>
      <c r="P194" s="7314"/>
      <c r="Q194" s="6779"/>
      <c r="R194" s="6780"/>
      <c r="S194" s="6781" t="str">
        <f>INDEX(PT_DIFFERENTIATION_NUM_TER,MATCH(B194,PT_DIFFERENTIATION_TER_ID,0))</f>
        <v>1.9</v>
      </c>
      <c r="T194" s="7315" t="s">
        <v>490</v>
      </c>
      <c r="U194" s="6783"/>
      <c r="V194" s="6593"/>
      <c r="W194" s="6594"/>
      <c r="X194" s="6594"/>
      <c r="Y194" s="6594"/>
      <c r="Z194" s="6594"/>
      <c r="AA194" s="6594"/>
      <c r="AB194" s="6595"/>
      <c r="AC194" s="6593" t="str">
        <f>INDEX(PT_DIFFERENTIATION_TER,MATCH(B194,PT_DIFFERENTIATION_TER_ID,0))</f>
        <v>Территория 9</v>
      </c>
      <c r="AD194" s="6594"/>
      <c r="AE194" s="6594"/>
      <c r="AF194" s="6594"/>
      <c r="AG194" s="6594"/>
      <c r="AH194" s="6594"/>
      <c r="AI194" s="6594"/>
      <c r="AJ194" s="6593"/>
      <c r="AK194" s="6594"/>
      <c r="AL194" s="6594"/>
      <c r="AM194" s="6594"/>
      <c r="AN194" s="6594"/>
      <c r="AO194" s="6594"/>
      <c r="AP194" s="6595"/>
      <c r="AQ194" s="6593"/>
      <c r="AR194" s="6594"/>
      <c r="AS194" s="6594"/>
      <c r="AT194" s="6594"/>
      <c r="AU194" s="6594"/>
      <c r="AV194" s="6594"/>
      <c r="AW194" s="6595"/>
      <c r="AX194" s="6593"/>
      <c r="AY194" s="6594"/>
      <c r="AZ194" s="6594"/>
      <c r="BA194" s="6594"/>
      <c r="BB194" s="6594"/>
      <c r="BC194" s="6594"/>
      <c r="BD194" s="6595"/>
      <c r="BE194" s="6595"/>
      <c r="BF194" s="6784" t="s">
        <v>491</v>
      </c>
      <c r="BG194" s="6687"/>
      <c r="BH194" s="6785"/>
      <c r="BI194" s="6785" t="str">
        <f>IF(T194="","",T194)</f>
        <v>Территория действия тарифа</v>
      </c>
      <c r="BJ194" s="6785"/>
      <c r="BK194" s="6785"/>
      <c r="BL194" s="6591">
        <v>0</v>
      </c>
    </row>
    <row s="8861" customFormat="1" customHeight="1" ht="23.25">
      <c r="A195" s="6773"/>
      <c r="B195" s="6773"/>
      <c r="C195" s="6773" t="s">
        <v>358</v>
      </c>
      <c r="D195" s="6773"/>
      <c r="E195" s="6774"/>
      <c r="F195" s="6774" t="s">
        <v>129</v>
      </c>
      <c r="G195" s="6775">
        <v>1</v>
      </c>
      <c r="H195" s="6773"/>
      <c r="I195" s="6773"/>
      <c r="J195" s="6773"/>
      <c r="K195" s="6773"/>
      <c r="L195" s="6776"/>
      <c r="M195" s="6777"/>
      <c r="N195" s="6777"/>
      <c r="O195" s="6777"/>
      <c r="P195" s="6778"/>
      <c r="Q195" s="6779"/>
      <c r="R195" s="6780"/>
      <c r="S195" s="6781" t="str">
        <f>INDEX(PT_DIFFERENTIATION_NUM_CS,MATCH(C195,PT_DIFFERENTIATION_CS_ID,0))</f>
        <v>1.9.1</v>
      </c>
      <c r="T195" s="6782" t="s">
        <v>606</v>
      </c>
      <c r="U195" s="6783"/>
      <c r="V195" s="6593"/>
      <c r="W195" s="6594"/>
      <c r="X195" s="6594"/>
      <c r="Y195" s="6594"/>
      <c r="Z195" s="6594"/>
      <c r="AA195" s="6594"/>
      <c r="AB195" s="6595"/>
      <c r="AC195" s="6593" t="str">
        <f>INDEX(PT_DIFFERENTIATION_CS,MATCH(C195,PT_DIFFERENTIATION_CS_ID,0))</f>
        <v>с. Анучино</v>
      </c>
      <c r="AD195" s="6594"/>
      <c r="AE195" s="6594"/>
      <c r="AF195" s="6594"/>
      <c r="AG195" s="6594"/>
      <c r="AH195" s="6594"/>
      <c r="AI195" s="6594"/>
      <c r="AJ195" s="6593"/>
      <c r="AK195" s="6594"/>
      <c r="AL195" s="6594"/>
      <c r="AM195" s="6594"/>
      <c r="AN195" s="6594"/>
      <c r="AO195" s="6594"/>
      <c r="AP195" s="6595"/>
      <c r="AQ195" s="6593"/>
      <c r="AR195" s="6594"/>
      <c r="AS195" s="6594"/>
      <c r="AT195" s="6594"/>
      <c r="AU195" s="6594"/>
      <c r="AV195" s="6594"/>
      <c r="AW195" s="6595"/>
      <c r="AX195" s="6593"/>
      <c r="AY195" s="6594"/>
      <c r="AZ195" s="6594"/>
      <c r="BA195" s="6594"/>
      <c r="BB195" s="6594"/>
      <c r="BC195" s="6594"/>
      <c r="BD195" s="6595"/>
      <c r="BE195" s="6595"/>
      <c r="BF195" s="6784" t="s">
        <v>607</v>
      </c>
      <c r="BG195" s="6687"/>
      <c r="BH195" s="6785"/>
      <c r="BI195" s="6785" t="str">
        <f>IF(T195="","",T195)</f>
        <v>Наименование централизованной системы водоотведения</v>
      </c>
      <c r="BJ195" s="6785"/>
      <c r="BK195" s="6785"/>
      <c r="BL195" s="6591">
        <v>0</v>
      </c>
    </row>
    <row s="8862" customFormat="1" customHeight="1" ht="23.25">
      <c r="A196" s="6773"/>
      <c r="B196" s="6773"/>
      <c r="C196" s="6773"/>
      <c r="D196" s="6773"/>
      <c r="E196" s="6774"/>
      <c r="F196" s="6774" t="s">
        <v>129</v>
      </c>
      <c r="G196" s="6774"/>
      <c r="H196" s="6774"/>
      <c r="I196" s="6787" t="str">
        <f>S195&amp;".1"</f>
        <v>1.9.1.1</v>
      </c>
      <c r="J196" s="6773"/>
      <c r="K196" s="6773"/>
      <c r="L196" s="6776"/>
      <c r="M196" s="6788"/>
      <c r="N196" s="6788"/>
      <c r="O196" s="6788"/>
      <c r="P196" s="6789">
        <v>1</v>
      </c>
      <c r="Q196" s="6789"/>
      <c r="R196" s="6790"/>
      <c r="S196" s="6781" t="str">
        <f>$I196</f>
        <v>1.9.1.1</v>
      </c>
      <c r="T196" s="6791" t="s">
        <v>573</v>
      </c>
      <c r="U196" s="6783"/>
      <c r="V196" s="6598"/>
      <c r="W196" s="6599"/>
      <c r="X196" s="6599"/>
      <c r="Y196" s="6599"/>
      <c r="Z196" s="6599"/>
      <c r="AA196" s="6599"/>
      <c r="AB196" s="6600"/>
      <c r="AC196" s="6792"/>
      <c r="AD196" s="6793"/>
      <c r="AE196" s="6793"/>
      <c r="AF196" s="6793"/>
      <c r="AG196" s="6793"/>
      <c r="AH196" s="6793"/>
      <c r="AI196" s="6793"/>
      <c r="AJ196" s="6598"/>
      <c r="AK196" s="6599"/>
      <c r="AL196" s="6599"/>
      <c r="AM196" s="6599"/>
      <c r="AN196" s="6599"/>
      <c r="AO196" s="6599"/>
      <c r="AP196" s="6600"/>
      <c r="AQ196" s="6598"/>
      <c r="AR196" s="6599"/>
      <c r="AS196" s="6599"/>
      <c r="AT196" s="6599"/>
      <c r="AU196" s="6599"/>
      <c r="AV196" s="6599"/>
      <c r="AW196" s="6600"/>
      <c r="AX196" s="6598"/>
      <c r="AY196" s="6599"/>
      <c r="AZ196" s="6599"/>
      <c r="BA196" s="6599"/>
      <c r="BB196" s="6599"/>
      <c r="BC196" s="6599"/>
      <c r="BD196" s="6600"/>
      <c r="BE196" s="6794"/>
      <c r="BF196" s="6784" t="s">
        <v>574</v>
      </c>
      <c r="BG196" s="6687"/>
      <c r="BH196" s="6785"/>
      <c r="BI196" s="6785" t="str">
        <f>IF(T196="","",T196)</f>
        <v>Наименование признака дифференциации</v>
      </c>
      <c r="BJ196" s="6785"/>
      <c r="BK196" s="6785"/>
      <c r="BL196" s="6591">
        <v>0</v>
      </c>
    </row>
    <row s="8863" customFormat="1" customHeight="1" ht="23.25">
      <c r="A197" s="6773"/>
      <c r="B197" s="6773"/>
      <c r="C197" s="6773"/>
      <c r="D197" s="6773"/>
      <c r="E197" s="6774"/>
      <c r="F197" s="6774" t="s">
        <v>129</v>
      </c>
      <c r="G197" s="6774"/>
      <c r="H197" s="6774"/>
      <c r="I197" s="6796"/>
      <c r="J197" s="6787" t="str">
        <f>I196&amp;".1"</f>
        <v>1.9.1.1.1</v>
      </c>
      <c r="K197" s="6773"/>
      <c r="L197" s="6776" t="s">
        <v>499</v>
      </c>
      <c r="M197" s="6788"/>
      <c r="N197" s="6788"/>
      <c r="O197" s="6788"/>
      <c r="P197" s="6789"/>
      <c r="Q197" s="6789">
        <v>1</v>
      </c>
      <c r="R197" s="6797"/>
      <c r="S197" s="6781" t="str">
        <f>$J197</f>
        <v>1.9.1.1.1</v>
      </c>
      <c r="T197" s="6798" t="s">
        <v>500</v>
      </c>
      <c r="U197" s="6783"/>
      <c r="V197" s="6601"/>
      <c r="W197" s="6602"/>
      <c r="X197" s="6602"/>
      <c r="Y197" s="6602"/>
      <c r="Z197" s="6602"/>
      <c r="AA197" s="6602"/>
      <c r="AB197" s="6603"/>
      <c r="AC197" s="6601" t="s">
        <v>611</v>
      </c>
      <c r="AD197" s="6602"/>
      <c r="AE197" s="6602"/>
      <c r="AF197" s="6602"/>
      <c r="AG197" s="6602"/>
      <c r="AH197" s="6602"/>
      <c r="AI197" s="6602"/>
      <c r="AJ197" s="6601"/>
      <c r="AK197" s="6602"/>
      <c r="AL197" s="6602"/>
      <c r="AM197" s="6602"/>
      <c r="AN197" s="6602"/>
      <c r="AO197" s="6602"/>
      <c r="AP197" s="6603"/>
      <c r="AQ197" s="6601"/>
      <c r="AR197" s="6602"/>
      <c r="AS197" s="6602"/>
      <c r="AT197" s="6602"/>
      <c r="AU197" s="6602"/>
      <c r="AV197" s="6602"/>
      <c r="AW197" s="6603"/>
      <c r="AX197" s="6601"/>
      <c r="AY197" s="6602"/>
      <c r="AZ197" s="6602"/>
      <c r="BA197" s="6602"/>
      <c r="BB197" s="6602"/>
      <c r="BC197" s="6602"/>
      <c r="BD197" s="6603"/>
      <c r="BE197" s="6603"/>
      <c r="BF197" s="6799" t="s">
        <v>575</v>
      </c>
      <c r="BG197" s="6687"/>
      <c r="BH197" s="6785"/>
      <c r="BI197" s="6785" t="str">
        <f>IF(T197="","",T197)</f>
        <v>Группа потребителей</v>
      </c>
      <c r="BJ197" s="6785"/>
      <c r="BK197" s="6785"/>
      <c r="BL197" s="6591">
        <v>0</v>
      </c>
    </row>
    <row s="8864" customFormat="1" customHeight="1" ht="23.25">
      <c r="A198" s="6773"/>
      <c r="B198" s="6773"/>
      <c r="C198" s="6773"/>
      <c r="D198" s="6773"/>
      <c r="E198" s="6774"/>
      <c r="F198" s="6774" t="s">
        <v>129</v>
      </c>
      <c r="G198" s="6774"/>
      <c r="H198" s="6774"/>
      <c r="I198" s="6796"/>
      <c r="J198" s="6796"/>
      <c r="K198" s="6787" t="str">
        <f>J197&amp;".1"</f>
        <v>1.9.1.1.1.1</v>
      </c>
      <c r="L198" s="6776"/>
      <c r="M198" s="6788"/>
      <c r="N198" s="6788"/>
      <c r="O198" s="6788"/>
      <c r="P198" s="6789"/>
      <c r="Q198" s="6789"/>
      <c r="R198" s="6797">
        <v>1</v>
      </c>
      <c r="S198" s="6781" t="str">
        <f>$K198</f>
        <v>1.9.1.1.1.1</v>
      </c>
      <c r="T198" s="6801" t="s">
        <v>569</v>
      </c>
      <c r="U198" s="6783"/>
      <c r="V198" s="6604"/>
      <c r="W198" s="6604"/>
      <c r="X198" s="6605"/>
      <c r="Y198" s="6606"/>
      <c r="Z198" s="6607" t="s">
        <v>66</v>
      </c>
      <c r="AA198" s="6606"/>
      <c r="AB198" s="6607" t="s">
        <v>66</v>
      </c>
      <c r="AC198" s="6604">
        <v>74.44</v>
      </c>
      <c r="AD198" s="6604"/>
      <c r="AE198" s="6605"/>
      <c r="AF198" s="6606">
        <v>45658.61688657408</v>
      </c>
      <c r="AG198" s="6607" t="s">
        <v>66</v>
      </c>
      <c r="AH198" s="6707">
        <v>46022.61703703704</v>
      </c>
      <c r="AI198" s="6607" t="s">
        <v>66</v>
      </c>
      <c r="AJ198" s="6604">
        <v>75.95</v>
      </c>
      <c r="AK198" s="6604"/>
      <c r="AL198" s="6605"/>
      <c r="AM198" s="6606">
        <v>46023.617268518516</v>
      </c>
      <c r="AN198" s="6607" t="s">
        <v>66</v>
      </c>
      <c r="AO198" s="6606">
        <v>46387.617372685185</v>
      </c>
      <c r="AP198" s="6607" t="s">
        <v>66</v>
      </c>
      <c r="AQ198" s="6604">
        <v>78.18</v>
      </c>
      <c r="AR198" s="6604"/>
      <c r="AS198" s="6605"/>
      <c r="AT198" s="6606">
        <v>46388.61748842592</v>
      </c>
      <c r="AU198" s="6607" t="s">
        <v>66</v>
      </c>
      <c r="AV198" s="6606">
        <v>46752.61761574074</v>
      </c>
      <c r="AW198" s="6607" t="s">
        <v>66</v>
      </c>
      <c r="AX198" s="6604">
        <v>80.48</v>
      </c>
      <c r="AY198" s="6604"/>
      <c r="AZ198" s="6605"/>
      <c r="BA198" s="6606">
        <v>46753.6221875</v>
      </c>
      <c r="BB198" s="6607" t="s">
        <v>66</v>
      </c>
      <c r="BC198" s="6606">
        <v>47118.62229166667</v>
      </c>
      <c r="BD198" s="6607" t="s">
        <v>66</v>
      </c>
      <c r="BE198" s="6802"/>
      <c r="BF198" s="68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198" s="6687">
        <f>STRCHECKDATE(V199:BE199)</f>
      </c>
      <c r="BH198" s="6785"/>
      <c r="BI198" s="6785" t="str">
        <f>IF(T198="","",T198)</f>
        <v>без НДС</v>
      </c>
      <c r="BJ198" s="6785"/>
      <c r="BK198" s="6785"/>
      <c r="BL198" s="6591">
        <v>0</v>
      </c>
    </row>
    <row s="8865" customFormat="1" customHeight="1" ht="14.25">
      <c r="A199" s="6773"/>
      <c r="B199" s="6773"/>
      <c r="C199" s="6773"/>
      <c r="D199" s="6773"/>
      <c r="E199" s="6774"/>
      <c r="F199" s="6774" t="s">
        <v>129</v>
      </c>
      <c r="G199" s="6774"/>
      <c r="H199" s="6774"/>
      <c r="I199" s="6796"/>
      <c r="J199" s="6796"/>
      <c r="K199" s="6787"/>
      <c r="L199" s="6776"/>
      <c r="M199" s="6788"/>
      <c r="N199" s="6788"/>
      <c r="O199" s="6788"/>
      <c r="P199" s="6789"/>
      <c r="Q199" s="6789"/>
      <c r="R199" s="6797"/>
      <c r="S199" s="6805"/>
      <c r="T199" s="6783"/>
      <c r="U199" s="6783"/>
      <c r="V199" s="6609"/>
      <c r="W199" s="6609"/>
      <c r="X199" s="6610" t="str">
        <f>Y198&amp;"-"&amp;AA198</f>
        <v>-</v>
      </c>
      <c r="Y199" s="6611"/>
      <c r="Z199" s="6607"/>
      <c r="AA199" s="6611"/>
      <c r="AB199" s="6607"/>
      <c r="AC199" s="6609"/>
      <c r="AD199" s="6609"/>
      <c r="AE199" s="6610" t="str">
        <f>AF198&amp;"-"&amp;AH198</f>
        <v>45658.61688657408-46022.61703703704</v>
      </c>
      <c r="AF199" s="6611"/>
      <c r="AG199" s="6607"/>
      <c r="AH199" s="6708"/>
      <c r="AI199" s="6607"/>
      <c r="AJ199" s="6609"/>
      <c r="AK199" s="6609"/>
      <c r="AL199" s="6610" t="str">
        <f>AM198&amp;"-"&amp;AO198</f>
        <v>46023.617268518516-46387.617372685185</v>
      </c>
      <c r="AM199" s="6611"/>
      <c r="AN199" s="6607"/>
      <c r="AO199" s="6611"/>
      <c r="AP199" s="6607"/>
      <c r="AQ199" s="6609"/>
      <c r="AR199" s="6609"/>
      <c r="AS199" s="6610" t="str">
        <f>AT198&amp;"-"&amp;AV198</f>
        <v>46388.61748842592-46752.61761574074</v>
      </c>
      <c r="AT199" s="6611"/>
      <c r="AU199" s="6607"/>
      <c r="AV199" s="6611"/>
      <c r="AW199" s="6607"/>
      <c r="AX199" s="6609"/>
      <c r="AY199" s="6609"/>
      <c r="AZ199" s="6610" t="str">
        <f>BA198&amp;"-"&amp;BC198</f>
        <v>46753.6221875-47118.62229166667</v>
      </c>
      <c r="BA199" s="6611"/>
      <c r="BB199" s="6607"/>
      <c r="BC199" s="6611"/>
      <c r="BD199" s="6607"/>
      <c r="BE199" s="6806"/>
      <c r="BF199" s="6803"/>
      <c r="BG199" s="6687"/>
      <c r="BH199" s="6785"/>
      <c r="BI199" s="6785" t="str">
        <f>IF(T199="","",T199)</f>
        <v/>
      </c>
      <c r="BJ199" s="6785"/>
      <c r="BK199" s="6785"/>
      <c r="BL199" s="6591">
        <v>0</v>
      </c>
    </row>
    <row s="8866" customFormat="1" customHeight="1" ht="21">
      <c r="A200" s="6773"/>
      <c r="B200" s="6773"/>
      <c r="C200" s="6773"/>
      <c r="D200" s="6773"/>
      <c r="E200" s="6774"/>
      <c r="F200" s="6774" t="s">
        <v>129</v>
      </c>
      <c r="G200" s="6774"/>
      <c r="H200" s="6774"/>
      <c r="I200" s="6796"/>
      <c r="J200" s="6787"/>
      <c r="K200" s="6773"/>
      <c r="L200" s="6776"/>
      <c r="M200" s="6788"/>
      <c r="N200" s="6788"/>
      <c r="O200" s="6788"/>
      <c r="P200" s="6789"/>
      <c r="Q200" s="6789"/>
      <c r="R200" s="6790"/>
      <c r="S200" s="8867"/>
      <c r="T200" s="8868" t="s">
        <v>576</v>
      </c>
      <c r="U200" s="8869"/>
      <c r="V200" s="8870"/>
      <c r="W200" s="8871"/>
      <c r="X200" s="8872"/>
      <c r="Y200" s="8873"/>
      <c r="Z200" s="8874"/>
      <c r="AA200" s="8875"/>
      <c r="AB200" s="8876"/>
      <c r="AC200" s="8877"/>
      <c r="AD200" s="8878"/>
      <c r="AE200" s="8879"/>
      <c r="AF200" s="8880"/>
      <c r="AG200" s="8881"/>
      <c r="AH200" s="8882"/>
      <c r="AI200" s="8883"/>
      <c r="AJ200" s="8884"/>
      <c r="AK200" s="8885"/>
      <c r="AL200" s="8886"/>
      <c r="AM200" s="8887"/>
      <c r="AN200" s="8888"/>
      <c r="AO200" s="8889"/>
      <c r="AP200" s="8890"/>
      <c r="AQ200" s="8891"/>
      <c r="AR200" s="8892"/>
      <c r="AS200" s="8893"/>
      <c r="AT200" s="8894"/>
      <c r="AU200" s="8895"/>
      <c r="AV200" s="8896"/>
      <c r="AW200" s="8897"/>
      <c r="AX200" s="8898"/>
      <c r="AY200" s="8899"/>
      <c r="AZ200" s="8900"/>
      <c r="BA200" s="8901"/>
      <c r="BB200" s="8902"/>
      <c r="BC200" s="8903"/>
      <c r="BD200" s="8904"/>
      <c r="BE200" s="8905"/>
      <c r="BF200" s="6784" t="s">
        <v>577</v>
      </c>
      <c r="BG200" s="6687"/>
      <c r="BH200" s="6785"/>
      <c r="BI200" s="6785" t="str">
        <f>IF(T200="","",T200)</f>
        <v>Добавить значение признака дифференциации</v>
      </c>
      <c r="BJ200" s="6785"/>
      <c r="BK200" s="6785"/>
      <c r="BL200" s="6591">
        <v>0</v>
      </c>
    </row>
    <row s="8906" customFormat="1" customHeight="1" ht="21">
      <c r="A201" s="6773"/>
      <c r="B201" s="6773"/>
      <c r="C201" s="6773"/>
      <c r="D201" s="6773"/>
      <c r="E201" s="6774"/>
      <c r="F201" s="6774" t="s">
        <v>129</v>
      </c>
      <c r="G201" s="6774"/>
      <c r="H201" s="6774"/>
      <c r="I201" s="6787"/>
      <c r="J201" s="6773"/>
      <c r="K201" s="6773"/>
      <c r="L201" s="6776"/>
      <c r="M201" s="6788"/>
      <c r="N201" s="6788"/>
      <c r="O201" s="6788"/>
      <c r="P201" s="6789"/>
      <c r="Q201" s="6789"/>
      <c r="R201" s="6790"/>
      <c r="S201" s="8907"/>
      <c r="T201" s="8908" t="s">
        <v>505</v>
      </c>
      <c r="U201" s="8909"/>
      <c r="V201" s="8910"/>
      <c r="W201" s="8911"/>
      <c r="X201" s="8912"/>
      <c r="Y201" s="8913"/>
      <c r="Z201" s="8914"/>
      <c r="AA201" s="8915"/>
      <c r="AB201" s="8916"/>
      <c r="AC201" s="8917"/>
      <c r="AD201" s="8918"/>
      <c r="AE201" s="8919"/>
      <c r="AF201" s="8920"/>
      <c r="AG201" s="8921"/>
      <c r="AH201" s="8922"/>
      <c r="AI201" s="8923"/>
      <c r="AJ201" s="8924"/>
      <c r="AK201" s="8925"/>
      <c r="AL201" s="8926"/>
      <c r="AM201" s="8927"/>
      <c r="AN201" s="8928"/>
      <c r="AO201" s="8929"/>
      <c r="AP201" s="8930"/>
      <c r="AQ201" s="8931"/>
      <c r="AR201" s="8932"/>
      <c r="AS201" s="8933"/>
      <c r="AT201" s="8934"/>
      <c r="AU201" s="8935"/>
      <c r="AV201" s="8936"/>
      <c r="AW201" s="8937"/>
      <c r="AX201" s="8938"/>
      <c r="AY201" s="8939"/>
      <c r="AZ201" s="8940"/>
      <c r="BA201" s="8941"/>
      <c r="BB201" s="8942"/>
      <c r="BC201" s="8943"/>
      <c r="BD201" s="8944"/>
      <c r="BE201" s="8945"/>
      <c r="BF201" s="8946"/>
      <c r="BG201" s="6687"/>
      <c r="BH201" s="6785"/>
      <c r="BI201" s="6785" t="str">
        <f>IF(T201="","",T201)</f>
        <v>Добавить группу потребителей</v>
      </c>
      <c r="BJ201" s="6785"/>
      <c r="BK201" s="6785"/>
      <c r="BL201" s="6591">
        <v>0</v>
      </c>
    </row>
    <row s="8947" customFormat="1" customHeight="1" ht="21">
      <c r="A202" s="6773"/>
      <c r="B202" s="6773"/>
      <c r="C202" s="6773"/>
      <c r="D202" s="6773"/>
      <c r="E202" s="6774"/>
      <c r="F202" s="6774" t="s">
        <v>129</v>
      </c>
      <c r="G202" s="6774"/>
      <c r="H202" s="6775"/>
      <c r="I202" s="6773"/>
      <c r="J202" s="6773"/>
      <c r="K202" s="6773"/>
      <c r="L202" s="6776"/>
      <c r="M202" s="6777"/>
      <c r="N202" s="6777"/>
      <c r="O202" s="6678"/>
      <c r="P202" s="6889"/>
      <c r="Q202" s="6890"/>
      <c r="R202" s="6891"/>
      <c r="S202" s="8948"/>
      <c r="T202" s="8949" t="s">
        <v>578</v>
      </c>
      <c r="U202" s="8950"/>
      <c r="V202" s="8951"/>
      <c r="W202" s="8952"/>
      <c r="X202" s="8953"/>
      <c r="Y202" s="8954"/>
      <c r="Z202" s="8955"/>
      <c r="AA202" s="8956"/>
      <c r="AB202" s="8957"/>
      <c r="AC202" s="8958"/>
      <c r="AD202" s="8959"/>
      <c r="AE202" s="8960"/>
      <c r="AF202" s="8961"/>
      <c r="AG202" s="8962"/>
      <c r="AH202" s="8963"/>
      <c r="AI202" s="8964"/>
      <c r="AJ202" s="8965"/>
      <c r="AK202" s="8966"/>
      <c r="AL202" s="8967"/>
      <c r="AM202" s="8968"/>
      <c r="AN202" s="8969"/>
      <c r="AO202" s="8970"/>
      <c r="AP202" s="8971"/>
      <c r="AQ202" s="8972"/>
      <c r="AR202" s="8973"/>
      <c r="AS202" s="8974"/>
      <c r="AT202" s="8975"/>
      <c r="AU202" s="8976"/>
      <c r="AV202" s="8977"/>
      <c r="AW202" s="8978"/>
      <c r="AX202" s="8979"/>
      <c r="AY202" s="8980"/>
      <c r="AZ202" s="8981"/>
      <c r="BA202" s="8982"/>
      <c r="BB202" s="8983"/>
      <c r="BC202" s="8984"/>
      <c r="BD202" s="8985"/>
      <c r="BE202" s="8986"/>
      <c r="BF202" s="8987"/>
      <c r="BG202" s="6687"/>
      <c r="BH202" s="6785"/>
      <c r="BI202" s="6785" t="str">
        <f>IF(T202="","",T202)</f>
        <v>Добавить наименование признака дифференциации</v>
      </c>
      <c r="BJ202" s="6785"/>
      <c r="BK202" s="6785"/>
      <c r="BL202" s="6591">
        <v>0</v>
      </c>
    </row>
    <row s="8988" customFormat="1" customHeight="1" ht="14.25">
      <c r="A203" s="7571"/>
      <c r="B203" s="7571"/>
      <c r="C203" s="7571"/>
      <c r="D203" s="7571"/>
      <c r="E203" s="6774"/>
      <c r="F203" s="6775" t="s">
        <v>129</v>
      </c>
      <c r="G203" s="7571"/>
      <c r="H203" s="7571"/>
      <c r="I203" s="7571"/>
      <c r="J203" s="7571"/>
      <c r="K203" s="7571"/>
      <c r="L203" s="7572"/>
      <c r="M203" s="7573"/>
      <c r="N203" s="7573"/>
      <c r="O203" s="6687"/>
      <c r="P203" s="7574"/>
      <c r="Q203" s="7575"/>
      <c r="R203" s="7574"/>
      <c r="S203" s="7576"/>
      <c r="T203" s="7577" t="s">
        <v>312</v>
      </c>
      <c r="U203" s="6676"/>
      <c r="V203" s="6676"/>
      <c r="W203" s="6676"/>
      <c r="X203" s="6676"/>
      <c r="Y203" s="6676"/>
      <c r="Z203" s="6676"/>
      <c r="AA203" s="6676"/>
      <c r="AB203" s="6676"/>
      <c r="AC203" s="6676"/>
      <c r="AD203" s="6676"/>
      <c r="AE203" s="6676"/>
      <c r="AF203" s="6676"/>
      <c r="AG203" s="6676"/>
      <c r="AH203" s="6676"/>
      <c r="AI203" s="6676"/>
      <c r="AJ203" s="6676"/>
      <c r="AK203" s="6676"/>
      <c r="AL203" s="6676"/>
      <c r="AM203" s="6676"/>
      <c r="AN203" s="6676"/>
      <c r="AO203" s="6676"/>
      <c r="AP203" s="6676"/>
      <c r="AQ203" s="6676"/>
      <c r="AR203" s="6676"/>
      <c r="AS203" s="6676"/>
      <c r="AT203" s="6676"/>
      <c r="AU203" s="6676"/>
      <c r="AV203" s="6676"/>
      <c r="AW203" s="6676"/>
      <c r="AX203" s="6676"/>
      <c r="AY203" s="6676"/>
      <c r="AZ203" s="6676"/>
      <c r="BA203" s="6676"/>
      <c r="BB203" s="6676"/>
      <c r="BC203" s="6676"/>
      <c r="BD203" s="6676"/>
      <c r="BE203" s="6676"/>
      <c r="BF203" s="6676"/>
      <c r="BG203" s="6687"/>
      <c r="BH203" s="6785"/>
      <c r="BI203" s="6785" t="str">
        <f>IF(T203="","",T203)</f>
        <v>Добавить централизованную систему для дифференциации</v>
      </c>
      <c r="BJ203" s="6785"/>
      <c r="BK203" s="6785"/>
      <c r="BL203" s="6687">
        <v>0</v>
      </c>
    </row>
    <row s="5468" customFormat="1" customHeight="1" ht="0">
      <c r="A204" s="1456" t="s">
        <v>297</v>
      </c>
      <c r="B204" s="1456"/>
      <c r="C204" s="1456"/>
      <c r="D204" s="1456"/>
      <c r="E204" s="2371"/>
      <c r="F204" s="1456"/>
      <c r="G204" s="1456"/>
      <c r="H204" s="1456"/>
      <c r="I204" s="1456"/>
      <c r="J204" s="1456"/>
      <c r="K204" s="1456"/>
      <c r="L204" s="1459"/>
      <c r="M204" s="1434"/>
      <c r="N204" s="1434"/>
      <c r="O204" s="631"/>
      <c r="P204" s="493"/>
      <c r="Q204" s="1457"/>
      <c r="R204" s="493"/>
      <c r="S204" s="1435"/>
      <c r="T204" s="1438" t="s">
        <v>360</v>
      </c>
      <c r="U204" s="1437"/>
      <c r="V204" s="1437"/>
      <c r="W204" s="1437"/>
      <c r="X204" s="1437"/>
      <c r="Y204" s="1437"/>
      <c r="Z204" s="1437"/>
      <c r="AA204" s="1437"/>
      <c r="AB204" s="1437"/>
      <c r="AC204" s="1437"/>
      <c r="AD204" s="1437"/>
      <c r="AE204" s="1437"/>
      <c r="AF204" s="1437"/>
      <c r="AG204" s="1437"/>
      <c r="AH204" s="1437"/>
      <c r="AI204" s="1437"/>
      <c r="AJ204" s="6676"/>
      <c r="AK204" s="6676"/>
      <c r="AL204" s="6676"/>
      <c r="AM204" s="6676"/>
      <c r="AN204" s="6676"/>
      <c r="AO204" s="6676"/>
      <c r="AP204" s="6676"/>
      <c r="AQ204" s="6676"/>
      <c r="AR204" s="6676"/>
      <c r="AS204" s="6676"/>
      <c r="AT204" s="6676"/>
      <c r="AU204" s="6676"/>
      <c r="AV204" s="6676"/>
      <c r="AW204" s="6676"/>
      <c r="AX204" s="6676"/>
      <c r="AY204" s="6676"/>
      <c r="AZ204" s="6676"/>
      <c r="BA204" s="6676"/>
      <c r="BB204" s="6676"/>
      <c r="BC204" s="6676"/>
      <c r="BD204" s="6676"/>
      <c r="BE204" s="1437"/>
      <c r="BF204" s="1437"/>
      <c r="BH204" s="613"/>
      <c r="BI204" s="613" t="str">
        <f>IF(T204="","",T204)</f>
        <v>Добавить территорию для дифференциации</v>
      </c>
      <c r="BJ204" s="613"/>
      <c r="BK204" s="613"/>
      <c r="BL204" s="624">
        <v>0</v>
      </c>
    </row>
    <row s="5468" customFormat="1" customHeight="1" ht="0">
      <c r="A205" s="1427"/>
      <c r="B205" s="1427"/>
      <c r="C205" s="1427"/>
      <c r="D205" s="1427"/>
      <c r="E205" s="1456"/>
      <c r="F205" s="1427"/>
      <c r="G205" s="1427"/>
      <c r="H205" s="1427"/>
      <c r="I205" s="1427"/>
      <c r="J205" s="1427"/>
      <c r="K205" s="1427"/>
      <c r="L205" s="1607"/>
      <c r="M205" s="1434"/>
      <c r="N205" s="1434"/>
      <c r="P205" s="1429"/>
      <c r="Q205" s="1430"/>
      <c r="R205" s="1429"/>
      <c r="S205" s="1435"/>
      <c r="T205" s="1438" t="s">
        <v>361</v>
      </c>
      <c r="U205" s="1437"/>
      <c r="V205" s="1437"/>
      <c r="W205" s="1437"/>
      <c r="X205" s="1437"/>
      <c r="Y205" s="1437"/>
      <c r="Z205" s="1437"/>
      <c r="AA205" s="1437"/>
      <c r="AB205" s="1437"/>
      <c r="AC205" s="1437"/>
      <c r="AD205" s="1437"/>
      <c r="AE205" s="1437"/>
      <c r="AF205" s="1437"/>
      <c r="AG205" s="1437"/>
      <c r="AH205" s="1437"/>
      <c r="AI205" s="1437"/>
      <c r="AJ205" s="6676"/>
      <c r="AK205" s="6676"/>
      <c r="AL205" s="6676"/>
      <c r="AM205" s="6676"/>
      <c r="AN205" s="6676"/>
      <c r="AO205" s="6676"/>
      <c r="AP205" s="6676"/>
      <c r="AQ205" s="6676"/>
      <c r="AR205" s="6676"/>
      <c r="AS205" s="6676"/>
      <c r="AT205" s="6676"/>
      <c r="AU205" s="6676"/>
      <c r="AV205" s="6676"/>
      <c r="AW205" s="6676"/>
      <c r="AX205" s="6676"/>
      <c r="AY205" s="6676"/>
      <c r="AZ205" s="6676"/>
      <c r="BA205" s="6676"/>
      <c r="BB205" s="6676"/>
      <c r="BC205" s="6676"/>
      <c r="BD205" s="6676"/>
      <c r="BE205" s="1437"/>
      <c r="BF205" s="1437"/>
      <c r="BH205" s="902"/>
      <c r="BI205" s="902" t="str">
        <f>IF(T205="","",T205)</f>
        <v>Добавить наименование тарифа</v>
      </c>
      <c r="BJ205" s="902"/>
      <c r="BK205" s="902"/>
      <c r="BL205" s="631">
        <v>0</v>
      </c>
    </row>
    <row customHeight="1" ht="11.549999999999999">
      <c r="M206" s="1273"/>
      <c r="N206" s="1273"/>
      <c r="O206" s="650"/>
      <c r="P206" s="1268"/>
      <c r="Q206" s="1268"/>
      <c r="R206" s="1268"/>
      <c r="S206" s="1268"/>
      <c r="AJ206" s="6591"/>
      <c r="AK206" s="6591"/>
      <c r="AL206" s="6591"/>
      <c r="AM206" s="6591"/>
      <c r="AN206" s="6591"/>
      <c r="AO206" s="6591"/>
      <c r="AP206" s="6591"/>
      <c r="AQ206" s="6591"/>
      <c r="AR206" s="6591"/>
      <c r="AS206" s="6591"/>
      <c r="AT206" s="6591"/>
      <c r="AU206" s="6591"/>
      <c r="AV206" s="6591"/>
      <c r="AW206" s="6591"/>
      <c r="AX206" s="6591"/>
      <c r="AY206" s="6591"/>
      <c r="AZ206" s="6591"/>
      <c r="BA206" s="6591"/>
      <c r="BB206" s="6591"/>
      <c r="BC206" s="6591"/>
      <c r="BD206" s="6591"/>
      <c r="BG206" s="1268"/>
      <c r="BH206" s="1268"/>
      <c r="BI206" s="1268"/>
      <c r="BJ206" s="1268"/>
      <c r="BK206" s="1268"/>
      <c r="BL206" s="1268">
        <v>11</v>
      </c>
    </row>
    <row customHeight="1" ht="14.699999999999998">
      <c r="O207" s="650"/>
      <c r="S207" s="1366"/>
      <c r="T207" s="2398"/>
      <c r="U207" s="2398"/>
      <c r="V207" s="2398"/>
      <c r="W207" s="2398"/>
      <c r="X207" s="2398"/>
      <c r="Y207" s="2398"/>
      <c r="Z207" s="2398"/>
      <c r="AA207" s="2398"/>
      <c r="AB207" s="2398"/>
      <c r="AC207" s="2398"/>
      <c r="AD207" s="2398"/>
      <c r="AE207" s="2398"/>
      <c r="AF207" s="2398"/>
      <c r="AG207" s="2398"/>
      <c r="AH207" s="2398"/>
      <c r="AI207" s="2398"/>
      <c r="AJ207" s="8989"/>
      <c r="AK207" s="8989"/>
      <c r="AL207" s="8989"/>
      <c r="AM207" s="8989"/>
      <c r="AN207" s="8989"/>
      <c r="AO207" s="8989"/>
      <c r="AP207" s="8989"/>
      <c r="AQ207" s="8989"/>
      <c r="AR207" s="8989"/>
      <c r="AS207" s="8989"/>
      <c r="AT207" s="8989"/>
      <c r="AU207" s="8989"/>
      <c r="AV207" s="8989"/>
      <c r="AW207" s="8989"/>
      <c r="AX207" s="8989"/>
      <c r="AY207" s="8989"/>
      <c r="AZ207" s="8989"/>
      <c r="BA207" s="8989"/>
      <c r="BB207" s="8989"/>
      <c r="BC207" s="8989"/>
      <c r="BD207" s="8989"/>
      <c r="BE207" s="2398"/>
      <c r="BF207" s="2398"/>
      <c r="BL207" s="1268">
        <v>14</v>
      </c>
    </row>
    <row customHeight="1" ht="14.699999999999998">
      <c r="O208" s="650"/>
      <c r="AJ208" s="6591"/>
      <c r="AK208" s="6591"/>
      <c r="AL208" s="6591"/>
      <c r="AM208" s="6591"/>
      <c r="AN208" s="6591"/>
      <c r="AO208" s="6591"/>
      <c r="AP208" s="6591"/>
      <c r="AQ208" s="6591"/>
      <c r="AR208" s="6591"/>
      <c r="AS208" s="6591"/>
      <c r="AT208" s="6591"/>
      <c r="AU208" s="6591"/>
      <c r="AV208" s="6591"/>
      <c r="AW208" s="6591"/>
      <c r="AX208" s="6591"/>
      <c r="AY208" s="6591"/>
      <c r="AZ208" s="6591"/>
      <c r="BA208" s="6591"/>
      <c r="BB208" s="6591"/>
      <c r="BC208" s="6591"/>
      <c r="BD208" s="6591"/>
      <c r="BL208" s="1268">
        <v>14</v>
      </c>
    </row>
    <row customHeight="1" ht="14.699999999999998">
      <c r="O209" s="650"/>
      <c r="S209" s="1366"/>
      <c r="T209" s="2398"/>
      <c r="U209" s="2398"/>
      <c r="V209" s="2398"/>
      <c r="W209" s="2398"/>
      <c r="X209" s="2398"/>
      <c r="Y209" s="2398"/>
      <c r="Z209" s="2398"/>
      <c r="AA209" s="2398"/>
      <c r="AB209" s="2398"/>
      <c r="AC209" s="2398"/>
      <c r="AD209" s="2398"/>
      <c r="AE209" s="2398"/>
      <c r="AF209" s="2398"/>
      <c r="AG209" s="2398"/>
      <c r="AH209" s="2398"/>
      <c r="AI209" s="2398"/>
      <c r="AJ209" s="8989"/>
      <c r="AK209" s="8989"/>
      <c r="AL209" s="8989"/>
      <c r="AM209" s="8989"/>
      <c r="AN209" s="8989"/>
      <c r="AO209" s="8989"/>
      <c r="AP209" s="8989"/>
      <c r="AQ209" s="8989"/>
      <c r="AR209" s="8989"/>
      <c r="AS209" s="8989"/>
      <c r="AT209" s="8989"/>
      <c r="AU209" s="8989"/>
      <c r="AV209" s="8989"/>
      <c r="AW209" s="8989"/>
      <c r="AX209" s="8989"/>
      <c r="AY209" s="8989"/>
      <c r="AZ209" s="8989"/>
      <c r="BA209" s="8989"/>
      <c r="BB209" s="8989"/>
      <c r="BC209" s="8989"/>
      <c r="BD209" s="8989"/>
      <c r="BE209" s="2398"/>
      <c r="BF209" s="2398"/>
      <c r="BL209" s="1268">
        <v>14</v>
      </c>
    </row>
    <row customHeight="1" ht="22.5" hidden="1">
      <c r="A210" s="1273" t="s">
        <v>82</v>
      </c>
      <c r="B210" s="1273">
        <v>0</v>
      </c>
      <c r="C210" s="1273">
        <v>0</v>
      </c>
      <c r="D210" s="1273">
        <v>0</v>
      </c>
      <c r="E210" s="1273">
        <v>0</v>
      </c>
      <c r="F210" s="1273">
        <v>0</v>
      </c>
      <c r="G210" s="1273">
        <v>0</v>
      </c>
      <c r="H210" s="1273">
        <v>0</v>
      </c>
      <c r="I210" s="1273">
        <v>0</v>
      </c>
      <c r="J210" s="1273">
        <v>0</v>
      </c>
      <c r="K210" s="1273">
        <v>0</v>
      </c>
      <c r="L210" s="1591">
        <v>0</v>
      </c>
      <c r="M210" s="1475">
        <v>0</v>
      </c>
      <c r="N210" s="1475">
        <v>0</v>
      </c>
      <c r="O210" s="1475">
        <v>0</v>
      </c>
      <c r="P210" s="1586">
        <v>3</v>
      </c>
      <c r="Q210" s="457">
        <v>3</v>
      </c>
      <c r="R210" s="457">
        <v>3</v>
      </c>
      <c r="S210" s="694">
        <v>12</v>
      </c>
      <c r="T210" s="1268">
        <v>35</v>
      </c>
      <c r="U210" s="1268">
        <v>0</v>
      </c>
      <c r="V210" s="1268">
        <v>0</v>
      </c>
      <c r="W210" s="1268">
        <v>0</v>
      </c>
      <c r="X210" s="1268">
        <v>0</v>
      </c>
      <c r="Y210" s="1268">
        <v>0</v>
      </c>
      <c r="Z210" s="1268">
        <v>0</v>
      </c>
      <c r="AA210" s="1268">
        <v>0</v>
      </c>
      <c r="AB210" s="1268">
        <v>0</v>
      </c>
      <c r="AC210" s="1268">
        <v>24</v>
      </c>
      <c r="AD210" s="1268">
        <v>24</v>
      </c>
      <c r="AE210" s="1268">
        <v>24</v>
      </c>
      <c r="AF210" s="1268">
        <v>11</v>
      </c>
      <c r="AG210" s="1268">
        <v>3</v>
      </c>
      <c r="AH210" s="1268">
        <v>11</v>
      </c>
      <c r="AI210" s="1268">
        <v>0</v>
      </c>
      <c r="AJ210" s="6591">
        <v>0</v>
      </c>
      <c r="AK210" s="6591">
        <v>0</v>
      </c>
      <c r="AL210" s="6591">
        <v>0</v>
      </c>
      <c r="AM210" s="6591">
        <v>0</v>
      </c>
      <c r="AN210" s="6591">
        <v>0</v>
      </c>
      <c r="AO210" s="6591">
        <v>0</v>
      </c>
      <c r="AP210" s="6591">
        <v>0</v>
      </c>
      <c r="AQ210" s="6591">
        <v>0</v>
      </c>
      <c r="AR210" s="6591">
        <v>0</v>
      </c>
      <c r="AS210" s="6591">
        <v>0</v>
      </c>
      <c r="AT210" s="6591">
        <v>0</v>
      </c>
      <c r="AU210" s="6591">
        <v>0</v>
      </c>
      <c r="AV210" s="6591">
        <v>0</v>
      </c>
      <c r="AW210" s="6591">
        <v>0</v>
      </c>
      <c r="AX210" s="6591">
        <v>0</v>
      </c>
      <c r="AY210" s="6591">
        <v>0</v>
      </c>
      <c r="AZ210" s="6591">
        <v>0</v>
      </c>
      <c r="BA210" s="6591">
        <v>0</v>
      </c>
      <c r="BB210" s="6591">
        <v>0</v>
      </c>
      <c r="BC210" s="6591">
        <v>0</v>
      </c>
      <c r="BD210" s="6591">
        <v>0</v>
      </c>
      <c r="BE210" s="1268">
        <v>4</v>
      </c>
      <c r="BF210" s="1268">
        <v>115</v>
      </c>
      <c r="BG210" s="624">
        <v>10</v>
      </c>
      <c r="BH210" s="624">
        <v>10</v>
      </c>
      <c r="BI210" s="624">
        <v>10</v>
      </c>
      <c r="BJ210" s="624">
        <v>10</v>
      </c>
      <c r="BK210" s="624">
        <v>10</v>
      </c>
      <c r="BL210" s="1268">
        <v>23</v>
      </c>
    </row>
  </sheetData>
  <sheetProtection formatColumns="0" formatRows="0" autoFilter="0" sort="0" insertRows="0" insertColumns="1" deleteRows="0" deleteColumns="0"/>
  <mergeCells count="766">
    <mergeCell ref="BF46:BF47"/>
    <mergeCell ref="T207:BF207"/>
    <mergeCell ref="T209:BF209"/>
    <mergeCell ref="K46:K47"/>
    <mergeCell ref="AF46:AF47"/>
    <mergeCell ref="Z40:AA40"/>
    <mergeCell ref="AG40:AH40"/>
    <mergeCell ref="E41:E204"/>
    <mergeCell ref="V41:AB41"/>
    <mergeCell ref="AC41:BE41"/>
    <mergeCell ref="F42:F83"/>
    <mergeCell ref="V42:AB42"/>
    <mergeCell ref="AC42:BE42"/>
    <mergeCell ref="G43:G50"/>
    <mergeCell ref="V43:AB43"/>
    <mergeCell ref="AC43:BE43"/>
    <mergeCell ref="H44:H50"/>
    <mergeCell ref="I44:I49"/>
    <mergeCell ref="P44:P49"/>
    <mergeCell ref="V44:AB44"/>
    <mergeCell ref="AC44:BE44"/>
    <mergeCell ref="J45:J48"/>
    <mergeCell ref="Q45:Q48"/>
    <mergeCell ref="V45:AB45"/>
    <mergeCell ref="AC45:BE45"/>
    <mergeCell ref="AG46:AG47"/>
    <mergeCell ref="AH46:AH47"/>
    <mergeCell ref="AI46:AI47"/>
    <mergeCell ref="BF36:BF39"/>
    <mergeCell ref="S37:S39"/>
    <mergeCell ref="T37:T39"/>
    <mergeCell ref="V37:AA37"/>
    <mergeCell ref="AB37:AB39"/>
    <mergeCell ref="AC37:AH37"/>
    <mergeCell ref="AI37:AI39"/>
    <mergeCell ref="S32:T32"/>
    <mergeCell ref="V32:AA32"/>
    <mergeCell ref="AC32:AH32"/>
    <mergeCell ref="S33:T33"/>
    <mergeCell ref="V33:AA33"/>
    <mergeCell ref="AC33:AH33"/>
    <mergeCell ref="BE37:BE39"/>
    <mergeCell ref="W38:X38"/>
    <mergeCell ref="Y38:AA38"/>
    <mergeCell ref="AD38:AE38"/>
    <mergeCell ref="AF38:AH38"/>
    <mergeCell ref="Z39:AA39"/>
    <mergeCell ref="AG39:AH39"/>
    <mergeCell ref="V35:AB35"/>
    <mergeCell ref="AC35:AI35"/>
    <mergeCell ref="S36:BE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BF7:BF8"/>
    <mergeCell ref="AF15:AF16"/>
    <mergeCell ref="AG15:AG16"/>
    <mergeCell ref="AH15:AH16"/>
    <mergeCell ref="AI15:AI16"/>
    <mergeCell ref="Z7:Z8"/>
    <mergeCell ref="AA7:AA8"/>
    <mergeCell ref="AB7:AB8"/>
    <mergeCell ref="AF7:AF8"/>
    <mergeCell ref="AG7:AG8"/>
    <mergeCell ref="AH7:AH8"/>
    <mergeCell ref="E2:E13"/>
    <mergeCell ref="V2:AB2"/>
    <mergeCell ref="AC2:BE2"/>
    <mergeCell ref="F3:F12"/>
    <mergeCell ref="V3:AB3"/>
    <mergeCell ref="AC3:BE3"/>
    <mergeCell ref="G4:G11"/>
    <mergeCell ref="V4:AB4"/>
    <mergeCell ref="AC4:BE4"/>
    <mergeCell ref="H5:H11"/>
    <mergeCell ref="I5:I10"/>
    <mergeCell ref="P5:P10"/>
    <mergeCell ref="V5:AB5"/>
    <mergeCell ref="AC5:BE5"/>
    <mergeCell ref="J6:J9"/>
    <mergeCell ref="Q6:Q9"/>
    <mergeCell ref="V6:AB6"/>
    <mergeCell ref="AC6:BE6"/>
    <mergeCell ref="K7:K8"/>
    <mergeCell ref="Y7:Y8"/>
    <mergeCell ref="AI7:AI8"/>
    <mergeCell ref="BF54:BF55"/>
    <mergeCell ref="Z54:Z55"/>
    <mergeCell ref="AA54:AA55"/>
    <mergeCell ref="AB54:AB55"/>
    <mergeCell ref="AF54:AF55"/>
    <mergeCell ref="AG54:AG55"/>
    <mergeCell ref="AH54:AH55"/>
    <mergeCell ref="G51:G58"/>
    <mergeCell ref="V51:AB51"/>
    <mergeCell ref="AC51:BE51"/>
    <mergeCell ref="H52:H58"/>
    <mergeCell ref="I52:I57"/>
    <mergeCell ref="P52:P57"/>
    <mergeCell ref="V52:AB52"/>
    <mergeCell ref="AC52:BE52"/>
    <mergeCell ref="J53:J56"/>
    <mergeCell ref="Q53:Q56"/>
    <mergeCell ref="V53:AB53"/>
    <mergeCell ref="AC53:BE53"/>
    <mergeCell ref="K54:K55"/>
    <mergeCell ref="Y54:Y55"/>
    <mergeCell ref="AI54:AI55"/>
    <mergeCell ref="BF62:BF63"/>
    <mergeCell ref="Z62:Z63"/>
    <mergeCell ref="AA62:AA63"/>
    <mergeCell ref="AB62:AB63"/>
    <mergeCell ref="AF62:AF63"/>
    <mergeCell ref="AG62:AG63"/>
    <mergeCell ref="AH62:AH63"/>
    <mergeCell ref="G59:G66"/>
    <mergeCell ref="V59:AB59"/>
    <mergeCell ref="AC59:BE59"/>
    <mergeCell ref="H60:H66"/>
    <mergeCell ref="I60:I65"/>
    <mergeCell ref="P60:P65"/>
    <mergeCell ref="V60:AB60"/>
    <mergeCell ref="AC60:BE60"/>
    <mergeCell ref="J61:J64"/>
    <mergeCell ref="Q61:Q64"/>
    <mergeCell ref="V61:AB61"/>
    <mergeCell ref="AC61:BE61"/>
    <mergeCell ref="K62:K63"/>
    <mergeCell ref="Y62:Y63"/>
    <mergeCell ref="AI62:AI63"/>
    <mergeCell ref="BF70:BF71"/>
    <mergeCell ref="Z70:Z71"/>
    <mergeCell ref="AA70:AA71"/>
    <mergeCell ref="AB70:AB71"/>
    <mergeCell ref="AF70:AF71"/>
    <mergeCell ref="AG70:AG71"/>
    <mergeCell ref="AH70:AH71"/>
    <mergeCell ref="G67:G74"/>
    <mergeCell ref="V67:AB67"/>
    <mergeCell ref="AC67:BE67"/>
    <mergeCell ref="H68:H74"/>
    <mergeCell ref="I68:I73"/>
    <mergeCell ref="P68:P73"/>
    <mergeCell ref="V68:AB68"/>
    <mergeCell ref="AC68:BE68"/>
    <mergeCell ref="J69:J72"/>
    <mergeCell ref="Q69:Q72"/>
    <mergeCell ref="V69:AB69"/>
    <mergeCell ref="AC69:BE69"/>
    <mergeCell ref="K70:K71"/>
    <mergeCell ref="Y70:Y71"/>
    <mergeCell ref="AI70:AI71"/>
    <mergeCell ref="BF78:BF79"/>
    <mergeCell ref="Z78:Z79"/>
    <mergeCell ref="AA78:AA79"/>
    <mergeCell ref="AB78:AB79"/>
    <mergeCell ref="AF78:AF79"/>
    <mergeCell ref="AG78:AG79"/>
    <mergeCell ref="AH78:AH79"/>
    <mergeCell ref="G75:G82"/>
    <mergeCell ref="V75:AB75"/>
    <mergeCell ref="AC75:BE75"/>
    <mergeCell ref="H76:H82"/>
    <mergeCell ref="I76:I81"/>
    <mergeCell ref="P76:P81"/>
    <mergeCell ref="V76:AB76"/>
    <mergeCell ref="AC76:BE76"/>
    <mergeCell ref="J77:J80"/>
    <mergeCell ref="Q77:Q80"/>
    <mergeCell ref="V77:AB77"/>
    <mergeCell ref="AC77:BE77"/>
    <mergeCell ref="K78:K79"/>
    <mergeCell ref="Y78:Y79"/>
    <mergeCell ref="AI78:AI79"/>
    <mergeCell ref="BF88:BF89"/>
    <mergeCell ref="Z88:Z89"/>
    <mergeCell ref="AA88:AA89"/>
    <mergeCell ref="AB88:AB89"/>
    <mergeCell ref="AF88:AF89"/>
    <mergeCell ref="AG88:AG89"/>
    <mergeCell ref="AH88:AH89"/>
    <mergeCell ref="F84:F101"/>
    <mergeCell ref="V84:AB84"/>
    <mergeCell ref="AC84:BE84"/>
    <mergeCell ref="G85:G92"/>
    <mergeCell ref="V85:AB85"/>
    <mergeCell ref="AC85:BE85"/>
    <mergeCell ref="H86:H92"/>
    <mergeCell ref="I86:I91"/>
    <mergeCell ref="P86:P91"/>
    <mergeCell ref="V86:AB86"/>
    <mergeCell ref="AC86:BE86"/>
    <mergeCell ref="J87:J90"/>
    <mergeCell ref="Q87:Q90"/>
    <mergeCell ref="V87:AB87"/>
    <mergeCell ref="AC87:BE87"/>
    <mergeCell ref="K88:K89"/>
    <mergeCell ref="Y88:Y89"/>
    <mergeCell ref="AI88:AI89"/>
    <mergeCell ref="BF106:BF107"/>
    <mergeCell ref="Z106:Z107"/>
    <mergeCell ref="AA106:AA107"/>
    <mergeCell ref="AB106:AB107"/>
    <mergeCell ref="AF106:AF107"/>
    <mergeCell ref="AG106:AG107"/>
    <mergeCell ref="AH106:AH107"/>
    <mergeCell ref="F102:F111"/>
    <mergeCell ref="V102:AB102"/>
    <mergeCell ref="AC102:BE102"/>
    <mergeCell ref="G103:G110"/>
    <mergeCell ref="V103:AB103"/>
    <mergeCell ref="AC103:BE103"/>
    <mergeCell ref="H104:H110"/>
    <mergeCell ref="I104:I109"/>
    <mergeCell ref="P104:P109"/>
    <mergeCell ref="V104:AB104"/>
    <mergeCell ref="AC104:BE104"/>
    <mergeCell ref="J105:J108"/>
    <mergeCell ref="Q105:Q108"/>
    <mergeCell ref="V105:AB105"/>
    <mergeCell ref="AC105:BE105"/>
    <mergeCell ref="K106:K107"/>
    <mergeCell ref="Y106:Y107"/>
    <mergeCell ref="AI106:AI107"/>
    <mergeCell ref="BF116:BF117"/>
    <mergeCell ref="Z116:Z117"/>
    <mergeCell ref="AA116:AA117"/>
    <mergeCell ref="AB116:AB117"/>
    <mergeCell ref="AF116:AF117"/>
    <mergeCell ref="AG116:AG117"/>
    <mergeCell ref="AH116:AH117"/>
    <mergeCell ref="F112:F121"/>
    <mergeCell ref="V112:AB112"/>
    <mergeCell ref="AC112:BE112"/>
    <mergeCell ref="G113:G120"/>
    <mergeCell ref="V113:AB113"/>
    <mergeCell ref="AC113:BE113"/>
    <mergeCell ref="H114:H120"/>
    <mergeCell ref="I114:I119"/>
    <mergeCell ref="P114:P119"/>
    <mergeCell ref="V114:AB114"/>
    <mergeCell ref="AC114:BE114"/>
    <mergeCell ref="J115:J118"/>
    <mergeCell ref="Q115:Q118"/>
    <mergeCell ref="V115:AB115"/>
    <mergeCell ref="AC115:BE115"/>
    <mergeCell ref="K116:K117"/>
    <mergeCell ref="Y116:Y117"/>
    <mergeCell ref="AI116:AI117"/>
    <mergeCell ref="BF126:BF127"/>
    <mergeCell ref="Z126:Z127"/>
    <mergeCell ref="AA126:AA127"/>
    <mergeCell ref="AB126:AB127"/>
    <mergeCell ref="AF126:AF127"/>
    <mergeCell ref="AG126:AG127"/>
    <mergeCell ref="AH126:AH127"/>
    <mergeCell ref="F122:F131"/>
    <mergeCell ref="V122:AB122"/>
    <mergeCell ref="AC122:BE122"/>
    <mergeCell ref="G123:G130"/>
    <mergeCell ref="V123:AB123"/>
    <mergeCell ref="AC123:BE123"/>
    <mergeCell ref="H124:H130"/>
    <mergeCell ref="I124:I129"/>
    <mergeCell ref="P124:P129"/>
    <mergeCell ref="V124:AB124"/>
    <mergeCell ref="AC124:BE124"/>
    <mergeCell ref="J125:J128"/>
    <mergeCell ref="Q125:Q128"/>
    <mergeCell ref="V125:AB125"/>
    <mergeCell ref="AC125:BE125"/>
    <mergeCell ref="K126:K127"/>
    <mergeCell ref="Y126:Y127"/>
    <mergeCell ref="AI126:AI127"/>
    <mergeCell ref="BF136:BF137"/>
    <mergeCell ref="Z136:Z137"/>
    <mergeCell ref="AA136:AA137"/>
    <mergeCell ref="AB136:AB137"/>
    <mergeCell ref="AF136:AF137"/>
    <mergeCell ref="AG136:AG137"/>
    <mergeCell ref="AH136:AH137"/>
    <mergeCell ref="F132:F149"/>
    <mergeCell ref="V132:AB132"/>
    <mergeCell ref="AC132:BE132"/>
    <mergeCell ref="G133:G140"/>
    <mergeCell ref="V133:AB133"/>
    <mergeCell ref="AC133:BE133"/>
    <mergeCell ref="H134:H140"/>
    <mergeCell ref="I134:I139"/>
    <mergeCell ref="P134:P139"/>
    <mergeCell ref="V134:AB134"/>
    <mergeCell ref="AC134:BE134"/>
    <mergeCell ref="J135:J138"/>
    <mergeCell ref="Q135:Q138"/>
    <mergeCell ref="V135:AB135"/>
    <mergeCell ref="AC135:BE135"/>
    <mergeCell ref="K136:K137"/>
    <mergeCell ref="Y136:Y137"/>
    <mergeCell ref="AI136:AI137"/>
    <mergeCell ref="BF144:BF145"/>
    <mergeCell ref="Z144:Z145"/>
    <mergeCell ref="AA144:AA145"/>
    <mergeCell ref="AB144:AB145"/>
    <mergeCell ref="AF144:AF145"/>
    <mergeCell ref="AG144:AG145"/>
    <mergeCell ref="AH144:AH145"/>
    <mergeCell ref="G141:G148"/>
    <mergeCell ref="V141:AB141"/>
    <mergeCell ref="AC141:BE141"/>
    <mergeCell ref="H142:H148"/>
    <mergeCell ref="I142:I147"/>
    <mergeCell ref="P142:P147"/>
    <mergeCell ref="V142:AB142"/>
    <mergeCell ref="AC142:BE142"/>
    <mergeCell ref="J143:J146"/>
    <mergeCell ref="Q143:Q146"/>
    <mergeCell ref="V143:AB143"/>
    <mergeCell ref="AC143:BE143"/>
    <mergeCell ref="K144:K145"/>
    <mergeCell ref="Y144:Y145"/>
    <mergeCell ref="AI144:AI145"/>
    <mergeCell ref="BF154:BF155"/>
    <mergeCell ref="Z154:Z155"/>
    <mergeCell ref="AA154:AA155"/>
    <mergeCell ref="AB154:AB155"/>
    <mergeCell ref="AF154:AF155"/>
    <mergeCell ref="AG154:AG155"/>
    <mergeCell ref="AH154:AH155"/>
    <mergeCell ref="F150:F159"/>
    <mergeCell ref="V150:AB150"/>
    <mergeCell ref="AC150:BE150"/>
    <mergeCell ref="G151:G158"/>
    <mergeCell ref="V151:AB151"/>
    <mergeCell ref="AC151:BE151"/>
    <mergeCell ref="H152:H158"/>
    <mergeCell ref="I152:I157"/>
    <mergeCell ref="P152:P157"/>
    <mergeCell ref="V152:AB152"/>
    <mergeCell ref="AC152:BE152"/>
    <mergeCell ref="J153:J156"/>
    <mergeCell ref="Q153:Q156"/>
    <mergeCell ref="V153:AB153"/>
    <mergeCell ref="AC153:BE153"/>
    <mergeCell ref="K154:K155"/>
    <mergeCell ref="Y154:Y155"/>
    <mergeCell ref="AI154:AI155"/>
    <mergeCell ref="BF164:BF165"/>
    <mergeCell ref="Z164:Z165"/>
    <mergeCell ref="AA164:AA165"/>
    <mergeCell ref="AB164:AB165"/>
    <mergeCell ref="AF164:AF165"/>
    <mergeCell ref="AG164:AG165"/>
    <mergeCell ref="AH164:AH165"/>
    <mergeCell ref="F160:F193"/>
    <mergeCell ref="V160:AB160"/>
    <mergeCell ref="AC160:BE160"/>
    <mergeCell ref="G161:G168"/>
    <mergeCell ref="V161:AB161"/>
    <mergeCell ref="AC161:BE161"/>
    <mergeCell ref="H162:H168"/>
    <mergeCell ref="I162:I167"/>
    <mergeCell ref="P162:P167"/>
    <mergeCell ref="V162:AB162"/>
    <mergeCell ref="AC162:BE162"/>
    <mergeCell ref="J163:J166"/>
    <mergeCell ref="Q163:Q166"/>
    <mergeCell ref="V163:AB163"/>
    <mergeCell ref="AC163:BE163"/>
    <mergeCell ref="K164:K165"/>
    <mergeCell ref="Y164:Y165"/>
    <mergeCell ref="AI164:AI165"/>
    <mergeCell ref="BF198:BF199"/>
    <mergeCell ref="Z198:Z199"/>
    <mergeCell ref="AA198:AA199"/>
    <mergeCell ref="AB198:AB199"/>
    <mergeCell ref="AF198:AF199"/>
    <mergeCell ref="AG198:AG199"/>
    <mergeCell ref="AH198:AH199"/>
    <mergeCell ref="F194:F203"/>
    <mergeCell ref="V194:AB194"/>
    <mergeCell ref="AC194:BE194"/>
    <mergeCell ref="G195:G202"/>
    <mergeCell ref="V195:AB195"/>
    <mergeCell ref="AC195:BE195"/>
    <mergeCell ref="H196:H202"/>
    <mergeCell ref="I196:I201"/>
    <mergeCell ref="P196:P201"/>
    <mergeCell ref="V196:AB196"/>
    <mergeCell ref="AC196:BE196"/>
    <mergeCell ref="J197:J200"/>
    <mergeCell ref="Q197:Q200"/>
    <mergeCell ref="V197:AB197"/>
    <mergeCell ref="AC197:BE197"/>
    <mergeCell ref="K198:K199"/>
    <mergeCell ref="Y198:Y199"/>
    <mergeCell ref="AI198:AI199"/>
    <mergeCell ref="BF172:BF173"/>
    <mergeCell ref="Z172:Z173"/>
    <mergeCell ref="AA172:AA173"/>
    <mergeCell ref="AB172:AB173"/>
    <mergeCell ref="AF172:AF173"/>
    <mergeCell ref="AG172:AG173"/>
    <mergeCell ref="AH172:AH173"/>
    <mergeCell ref="G169:G176"/>
    <mergeCell ref="V169:AB169"/>
    <mergeCell ref="AC169:BE169"/>
    <mergeCell ref="H170:H176"/>
    <mergeCell ref="I170:I175"/>
    <mergeCell ref="P170:P175"/>
    <mergeCell ref="V170:AB170"/>
    <mergeCell ref="AC170:BE170"/>
    <mergeCell ref="J171:J174"/>
    <mergeCell ref="Q171:Q174"/>
    <mergeCell ref="V171:AB171"/>
    <mergeCell ref="AC171:BE171"/>
    <mergeCell ref="K172:K173"/>
    <mergeCell ref="Y172:Y173"/>
    <mergeCell ref="AI172:AI173"/>
    <mergeCell ref="BF180:BF181"/>
    <mergeCell ref="Z180:Z181"/>
    <mergeCell ref="AA180:AA181"/>
    <mergeCell ref="AB180:AB181"/>
    <mergeCell ref="AF180:AF181"/>
    <mergeCell ref="AG180:AG181"/>
    <mergeCell ref="AH180:AH181"/>
    <mergeCell ref="G177:G184"/>
    <mergeCell ref="V177:AB177"/>
    <mergeCell ref="AC177:BE177"/>
    <mergeCell ref="H178:H184"/>
    <mergeCell ref="I178:I183"/>
    <mergeCell ref="P178:P183"/>
    <mergeCell ref="V178:AB178"/>
    <mergeCell ref="AC178:BE178"/>
    <mergeCell ref="J179:J182"/>
    <mergeCell ref="Q179:Q182"/>
    <mergeCell ref="V179:AB179"/>
    <mergeCell ref="AC179:BE179"/>
    <mergeCell ref="K180:K181"/>
    <mergeCell ref="Y180:Y181"/>
    <mergeCell ref="AI180:AI181"/>
    <mergeCell ref="BF188:BF189"/>
    <mergeCell ref="Z188:Z189"/>
    <mergeCell ref="AA188:AA189"/>
    <mergeCell ref="AB188:AB189"/>
    <mergeCell ref="AF188:AF189"/>
    <mergeCell ref="AG188:AG189"/>
    <mergeCell ref="AH188:AH189"/>
    <mergeCell ref="G185:G192"/>
    <mergeCell ref="V185:AB185"/>
    <mergeCell ref="AC185:BE185"/>
    <mergeCell ref="H186:H192"/>
    <mergeCell ref="I186:I191"/>
    <mergeCell ref="P186:P191"/>
    <mergeCell ref="V186:AB186"/>
    <mergeCell ref="AC186:BE186"/>
    <mergeCell ref="J187:J190"/>
    <mergeCell ref="Q187:Q190"/>
    <mergeCell ref="V187:AB187"/>
    <mergeCell ref="AC187:BE187"/>
    <mergeCell ref="K188:K189"/>
    <mergeCell ref="Y188:Y189"/>
    <mergeCell ref="AI188:AI189"/>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54:AM55"/>
    <mergeCell ref="AN54:AN55"/>
    <mergeCell ref="AO54:AO55"/>
    <mergeCell ref="AP54:AP55"/>
    <mergeCell ref="AM62:AM63"/>
    <mergeCell ref="AN62:AN63"/>
    <mergeCell ref="AO62:AO63"/>
    <mergeCell ref="AP62:AP63"/>
    <mergeCell ref="AM70:AM71"/>
    <mergeCell ref="AN70:AN71"/>
    <mergeCell ref="AO70:AO71"/>
    <mergeCell ref="AP70:AP71"/>
    <mergeCell ref="AM78:AM79"/>
    <mergeCell ref="AN78:AN79"/>
    <mergeCell ref="AO78:AO79"/>
    <mergeCell ref="AP78:AP79"/>
    <mergeCell ref="AM88:AM89"/>
    <mergeCell ref="AN88:AN89"/>
    <mergeCell ref="AO88:AO89"/>
    <mergeCell ref="AP88:AP89"/>
    <mergeCell ref="AM106:AM107"/>
    <mergeCell ref="AN106:AN107"/>
    <mergeCell ref="AO106:AO107"/>
    <mergeCell ref="AP106:AP107"/>
    <mergeCell ref="AM116:AM117"/>
    <mergeCell ref="AN116:AN117"/>
    <mergeCell ref="AO116:AO117"/>
    <mergeCell ref="AP116:AP117"/>
    <mergeCell ref="AM126:AM127"/>
    <mergeCell ref="AN126:AN127"/>
    <mergeCell ref="AO126:AO127"/>
    <mergeCell ref="AP126:AP127"/>
    <mergeCell ref="AM136:AM137"/>
    <mergeCell ref="AN136:AN137"/>
    <mergeCell ref="AO136:AO137"/>
    <mergeCell ref="AP136:AP137"/>
    <mergeCell ref="AM144:AM145"/>
    <mergeCell ref="AN144:AN145"/>
    <mergeCell ref="AO144:AO145"/>
    <mergeCell ref="AP144:AP145"/>
    <mergeCell ref="AM154:AM155"/>
    <mergeCell ref="AN154:AN155"/>
    <mergeCell ref="AO154:AO155"/>
    <mergeCell ref="AP154:AP155"/>
    <mergeCell ref="AM164:AM165"/>
    <mergeCell ref="AN164:AN165"/>
    <mergeCell ref="AO164:AO165"/>
    <mergeCell ref="AP164:AP165"/>
    <mergeCell ref="AM172:AM173"/>
    <mergeCell ref="AN172:AN173"/>
    <mergeCell ref="AO172:AO173"/>
    <mergeCell ref="AP172:AP173"/>
    <mergeCell ref="AM180:AM181"/>
    <mergeCell ref="AN180:AN181"/>
    <mergeCell ref="AO180:AO181"/>
    <mergeCell ref="AP180:AP181"/>
    <mergeCell ref="AM188:AM189"/>
    <mergeCell ref="AN188:AN189"/>
    <mergeCell ref="AO188:AO189"/>
    <mergeCell ref="AP188:AP189"/>
    <mergeCell ref="AM198:AM199"/>
    <mergeCell ref="AN198:AN199"/>
    <mergeCell ref="AO198:AO199"/>
    <mergeCell ref="AP198:AP199"/>
    <mergeCell ref="AM46:AM47"/>
    <mergeCell ref="AN46:AN47"/>
    <mergeCell ref="AO46:AO47"/>
    <mergeCell ref="AP46:AP47"/>
    <mergeCell ref="Y46:Y47"/>
    <mergeCell ref="Z46:Z47"/>
    <mergeCell ref="AA46:AA47"/>
    <mergeCell ref="AB46:AB47"/>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T46:AT47"/>
    <mergeCell ref="AU46:AU47"/>
    <mergeCell ref="AV46:AV47"/>
    <mergeCell ref="AW46:AW47"/>
    <mergeCell ref="AT54:AT55"/>
    <mergeCell ref="AU54:AU55"/>
    <mergeCell ref="AV54:AV55"/>
    <mergeCell ref="AW54:AW55"/>
    <mergeCell ref="AT62:AT63"/>
    <mergeCell ref="AU62:AU63"/>
    <mergeCell ref="AV62:AV63"/>
    <mergeCell ref="AW62:AW63"/>
    <mergeCell ref="AT70:AT71"/>
    <mergeCell ref="AU70:AU71"/>
    <mergeCell ref="AV70:AV71"/>
    <mergeCell ref="AW70:AW71"/>
    <mergeCell ref="AT78:AT79"/>
    <mergeCell ref="AU78:AU79"/>
    <mergeCell ref="AV78:AV79"/>
    <mergeCell ref="AW78:AW79"/>
    <mergeCell ref="AT88:AT89"/>
    <mergeCell ref="AU88:AU89"/>
    <mergeCell ref="AV88:AV89"/>
    <mergeCell ref="AW88:AW89"/>
    <mergeCell ref="AT106:AT107"/>
    <mergeCell ref="AU106:AU107"/>
    <mergeCell ref="AV106:AV107"/>
    <mergeCell ref="AW106:AW107"/>
    <mergeCell ref="AT116:AT117"/>
    <mergeCell ref="AU116:AU117"/>
    <mergeCell ref="AV116:AV117"/>
    <mergeCell ref="AW116:AW117"/>
    <mergeCell ref="AT126:AT127"/>
    <mergeCell ref="AU126:AU127"/>
    <mergeCell ref="AV126:AV127"/>
    <mergeCell ref="AW126:AW127"/>
    <mergeCell ref="AT136:AT137"/>
    <mergeCell ref="AU136:AU137"/>
    <mergeCell ref="AV136:AV137"/>
    <mergeCell ref="AW136:AW137"/>
    <mergeCell ref="AT144:AT145"/>
    <mergeCell ref="AU144:AU145"/>
    <mergeCell ref="AV144:AV145"/>
    <mergeCell ref="AW144:AW145"/>
    <mergeCell ref="AT154:AT155"/>
    <mergeCell ref="AU154:AU155"/>
    <mergeCell ref="AV154:AV155"/>
    <mergeCell ref="AW154:AW155"/>
    <mergeCell ref="AT164:AT165"/>
    <mergeCell ref="AU164:AU165"/>
    <mergeCell ref="AV164:AV165"/>
    <mergeCell ref="AW164:AW165"/>
    <mergeCell ref="AT172:AT173"/>
    <mergeCell ref="AU172:AU173"/>
    <mergeCell ref="AV172:AV173"/>
    <mergeCell ref="AW172:AW173"/>
    <mergeCell ref="AT180:AT181"/>
    <mergeCell ref="AU180:AU181"/>
    <mergeCell ref="AV180:AV181"/>
    <mergeCell ref="AW180:AW181"/>
    <mergeCell ref="AT188:AT189"/>
    <mergeCell ref="AU188:AU189"/>
    <mergeCell ref="AV188:AV189"/>
    <mergeCell ref="AW188:AW189"/>
    <mergeCell ref="AT198:AT199"/>
    <mergeCell ref="AU198:AU199"/>
    <mergeCell ref="AV198:AV199"/>
    <mergeCell ref="AW198:AW199"/>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BA54:BA55"/>
    <mergeCell ref="BB54:BB55"/>
    <mergeCell ref="BC54:BC55"/>
    <mergeCell ref="BD54:BD55"/>
    <mergeCell ref="BA62:BA63"/>
    <mergeCell ref="BB62:BB63"/>
    <mergeCell ref="BC62:BC63"/>
    <mergeCell ref="BD62:BD63"/>
    <mergeCell ref="BA70:BA71"/>
    <mergeCell ref="BB70:BB71"/>
    <mergeCell ref="BC70:BC71"/>
    <mergeCell ref="BD70:BD71"/>
    <mergeCell ref="BA78:BA79"/>
    <mergeCell ref="BB78:BB79"/>
    <mergeCell ref="BC78:BC79"/>
    <mergeCell ref="BD78:BD79"/>
    <mergeCell ref="BA88:BA89"/>
    <mergeCell ref="BB88:BB89"/>
    <mergeCell ref="BC88:BC89"/>
    <mergeCell ref="BD88:BD89"/>
    <mergeCell ref="BA106:BA107"/>
    <mergeCell ref="BB106:BB107"/>
    <mergeCell ref="BC106:BC107"/>
    <mergeCell ref="BD106:BD107"/>
    <mergeCell ref="BA116:BA117"/>
    <mergeCell ref="BB116:BB117"/>
    <mergeCell ref="BC116:BC117"/>
    <mergeCell ref="BD116:BD117"/>
    <mergeCell ref="BA126:BA127"/>
    <mergeCell ref="BB126:BB127"/>
    <mergeCell ref="BC126:BC127"/>
    <mergeCell ref="BD126:BD127"/>
    <mergeCell ref="BA136:BA137"/>
    <mergeCell ref="BB136:BB137"/>
    <mergeCell ref="BC136:BC137"/>
    <mergeCell ref="BD136:BD137"/>
    <mergeCell ref="BA144:BA145"/>
    <mergeCell ref="BB144:BB145"/>
    <mergeCell ref="BC144:BC145"/>
    <mergeCell ref="BD144:BD145"/>
    <mergeCell ref="BA154:BA155"/>
    <mergeCell ref="BB154:BB155"/>
    <mergeCell ref="BC154:BC155"/>
    <mergeCell ref="BD154:BD155"/>
    <mergeCell ref="BA164:BA165"/>
    <mergeCell ref="BB164:BB165"/>
    <mergeCell ref="BC164:BC165"/>
    <mergeCell ref="BD164:BD165"/>
    <mergeCell ref="BA172:BA173"/>
    <mergeCell ref="BB172:BB173"/>
    <mergeCell ref="BC172:BC173"/>
    <mergeCell ref="BD172:BD173"/>
    <mergeCell ref="BA180:BA181"/>
    <mergeCell ref="BB180:BB181"/>
    <mergeCell ref="BC180:BC181"/>
    <mergeCell ref="BD180:BD181"/>
    <mergeCell ref="BA188:BA189"/>
    <mergeCell ref="BB188:BB189"/>
    <mergeCell ref="BC188:BC189"/>
    <mergeCell ref="BD188:BD189"/>
    <mergeCell ref="BA198:BA199"/>
    <mergeCell ref="BB198:BB199"/>
    <mergeCell ref="BC198:BC199"/>
    <mergeCell ref="BD198:BD199"/>
    <mergeCell ref="BF96:BF97"/>
    <mergeCell ref="Z96:Z97"/>
    <mergeCell ref="AA96:AA97"/>
    <mergeCell ref="AB96:AB97"/>
    <mergeCell ref="AF96:AF97"/>
    <mergeCell ref="AG96:AG97"/>
    <mergeCell ref="AH96:AH97"/>
    <mergeCell ref="G93:G100"/>
    <mergeCell ref="V93:AB93"/>
    <mergeCell ref="AC93:BE93"/>
    <mergeCell ref="H94:H100"/>
    <mergeCell ref="I94:I99"/>
    <mergeCell ref="P94:P99"/>
    <mergeCell ref="V94:AB94"/>
    <mergeCell ref="AC94:BE94"/>
    <mergeCell ref="J95:J98"/>
    <mergeCell ref="Q95:Q98"/>
    <mergeCell ref="V95:AB95"/>
    <mergeCell ref="AC95:BE95"/>
    <mergeCell ref="K96:K97"/>
    <mergeCell ref="Y96:Y97"/>
    <mergeCell ref="AI96:AI97"/>
    <mergeCell ref="AM96:AM97"/>
    <mergeCell ref="AN96:AN97"/>
    <mergeCell ref="AO96:AO97"/>
    <mergeCell ref="AP96:AP97"/>
    <mergeCell ref="AT96:AT97"/>
    <mergeCell ref="AU96:AU97"/>
    <mergeCell ref="AV96:AV97"/>
    <mergeCell ref="AW96:AW97"/>
    <mergeCell ref="BA96:BA97"/>
    <mergeCell ref="BB96:BB97"/>
    <mergeCell ref="BC96:BC97"/>
    <mergeCell ref="BD96:BD97"/>
  </mergeCells>
  <dataValidations count="8">
    <dataValidation type="list" allowBlank="1" showInputMessage="1" errorTitle="Ошибка" error="Выберите значение из списка" prompt="Выберите значение из списка" sqref="V983233:BE983233 V65729:BE65729 V131265:BE131265 V196801:BE196801 V262337:BE262337 V327873:BE327873 V393409:BE393409 V458945:BE458945 V524481:BE524481 V590017:BE590017 V655553:BE655553 V721089:BE721089 V786625:BE786625 V852161:BE852161 V917697:BE917697">
      <formula1>kind_of_cons</formula1>
    </dataValidation>
    <dataValidation allowBlank="1" sqref="S131268:BF131274 S196804:BF196810 S262340:BF262346 S327876:BF327882 S393412:BF393418 S458948:BF458954 S524484:BF524490 S590020:BF590026 S655556:BF655562 S721092:BF721098 S786628:BF786634 S852164:BF852170 S917700:BF917706 S983236:BF983242 S65732:BF65738"/>
    <dataValidation allowBlank="1" showInputMessage="1" showErrorMessage="1" prompt="Для выбора выполните двойной щелчок левой клавиши мыши по соответствующей ячейке." sqref="Z65730 Z131266 Z196802 Z262338 Z327874 Z393410 Z458946 Z524482 Z590018 Z655554 Z721090 Z786626 Z852162 Z917698 Z983234 AB131266 AB458946 AB196802 AB262338 AB327874 AB393410 AB524482 AB590018 AB655554 AB721090 AB786626 AB852162 AB917698 AB983234 AB65730 AG65730 AG131266 AG196802 AG262338 AG327874 AG393410 AG458946 AG524482 AG590018 AG655554 AG721090 AG786626 AG852162 AG917698 AG983234 AI524482:BD524482 AI196802:BD196802 AI590018:BD590018 AI655554:BD655554 AI15 AI721090:BD721090 AI786626:BD786626 AI852162:BD852162 AI917698:BD917698 AI983234:BD983234 AI65730:BD65730 AI131266:BD131266 AI458946:BD458946 AI262338:BD262338 AI7 AN7 AP7 AU7 AW7 BB7 BD7 AG46 AI327874:BD327874 AG15 AG7 Z7 AB7 AI393410:BD393410 AI46 AN46 AP46 AU46 AW46 BB46 BD46 Z46 AB46 Z54 AB54 AG54 AI54 AN54 AP54 AU54 AW54 BB54 BD54 Z62 AB62 AG62 AI62 AN62 AP62 AU62 AW62 BB62 BD62 Z70 AB70 AG70 AI70 AN70 AP70 AU70 AW70 BB70 BD70 Z78 AB78 AG78 AI78 AN78 AP78 AU78 AW78 BB78 BD78 Z88 AB88 AG88 AI88 AN88 AP88 AU88 AW88 BB88 BD88 Z106 AB106 AG106 AI106 AN106 AP106 AU106 AW106 BB106 BD106 Z116 AB116 AG116 AI116 AN116 AP116 AU116 AW116 BB116 BD116 Z126 AB126 AG126 AI126 AN126 AP126 AU126 AW126 BB126 BD126 Z136 AB136 AG136 AI136 AN136 AP136 AU136 AW136 BB136 BD136 Z144 AB144 AG144 AI144 AN144 AP144 AU144 AW144 BB144 BD144 Z154 AB154 AG154 AI154 AN154 AP154 AU154 AW154 BB154 BD154 Z164 AB164 AG164 AI164 AN164 AP164 AU164 AW164 BB164 BD164 Z198 AB198 AG198 AI198 AN198 AP198 AU198 AW198 BB198 BD198 Z172 AB172 AG172 AI172 AN172 AP172 AU172 AW172 BB172 BD172 Z180 AB180 AG180 AI180 AN180 AP180 AU180 AW180 BB180 BD180 Z188 AB188 AG188 AI188 AN188 AP188 AU188 AW188 BB188 BD188 Z96 AB96 AG96 AI96 AN96 AP96 AU96 AW96 BB96 BD9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730 Y131266 Y196802 Y262338 Y327874 Y393410 Y458946 Y524482 Y590018 Y655554 Y721090 Y786626 Y852162 Y917698 Y983234 AA65730 AA131266 AA196802 AA262338 AA327874 AA393410 AA458946 AA524482 AA590018 AA655554 AA721090 AA786626 AA852162 AA917698 AA983234 AF15 AF65730 AF131266 AF196802 AF262338 AF327874 AF393410 AF458946 AF524482 AF590018 AF655554 AF721090 AF786626 AF852162 AF917698 AF983234 AH65730 AH131266 AH196802 AH262338 AH327874 AH393410 AH458946 AH524482 AH590018 AH655554 AH721090 AH786626 AH852162 AH917698 AH983234 AH46 AF46 AH15 AH7 AF7 Y7 AA7 Y46 AA46 Y54 AA54 AF54 AH54 Y62 AA62 AF62 AH62 Y70 AA70 AF70 AH70 Y78 AA78 AF78 AH78 Y88 AA88 AF88 AH88 Y106 AA106 AF106 AH106 Y116 AA116 AF116 AH116 Y126 AA126 AF126 AH126 Y136 AA136 AF136 AH136 Y144 AA144 AF144 AH144 Y154 AA154 AF154 AH154 Y164 AA164 AF164 AH164 Y198 AA198 AF198 AH198 Y172 AA172 AF172 AH172 Y180 AA180 AF180 AH180 Y188 AA188 AF188 AH188 AM7 AO7 AM46 AO46 AM54 AO54 AM62 AO62 AM70 AO70 AM78 AO78 AM88 AO88 AM106 AO106 AM116 AO116 AM126 AO126 AM136 AO136 AM144 AO144 AM154 AO154 AM164 AO164 AM172 AO172 AM180 AO180 AM188 AO188 AM198 AO198 AT7 AV7 AT46 AV46 AT54 AV54 AT62 AV62 AT70 AV70 AT78 AV78 AT88 AV88 AT106 AV106 AT116 AV116 AT126 AV126 AT136 AV136 AT144 AV144 AT154 AV154 AT164 AV164 AT172 AV172 AT180 AV180 AT188 AV188 AT198 AV198 BA7 BC7 BA46 BC46 BA54 BC54 BA62 BC62 BA70 BC70 BA78 BC78 BA88 BC88 BA106 BC106 BA116 BC116 BA126 BC126 BA136 BC136 BA144 BC144 BA154 BC154 BA164 BC164 BA172 BC172 BA180 BC180 BA188 BC188 BA198 BC198 Y96 AA96 AF96 AH96 AM96 AO96 AT96 AV96 BA96 BC96"/>
    <dataValidation type="list" allowBlank="1" showInputMessage="1" showErrorMessage="1" errorTitle="Ошибка" error="Выберите значение из списка" sqref="T65730 T131266 T196802 T262338 T327874 T393410 T458946 T524482 T590018 T655554 T721090 T786626 T852162 T917698 T983234">
      <formula1>kind_of_heat_transfer</formula1>
    </dataValidation>
    <dataValidation type="textLength" operator="lessThanOrEqual" allowBlank="1" showInputMessage="1" showErrorMessage="1" errorTitle="Ошибка" error="Допускается ввод не более 900 символов!" sqref="BF65724:BF65731 BF131260:BF131267 BF196796:BF196803 BF262332:BF262339 BF327868:BF327875 BF393404:BF393411 BF458940:BF458947 BF524476:BF524483 BF590012:BF590019 BF655548:BF655555 BF721084:BF721091 BF786620:BF786627 BF852156:BF852163 BF917692:BF917699 BF983228:BF983235 T46 T7 AC5:AI5 BE5 AC44:AI44 BE44 AC52 AD52 AE52 AF52 AG52 AH52 AI52 BE52 T54 AC60 AD60 AE60 AF60 AG60 AH60 AI60 BE60 T62 AC68 AD68 AE68 AF68 AG68 AH68 AI68 BE68 T70 AC76 AD76 AE76 AF76 AG76 AH76 AI76 BE76 T78 AC86 AD86 AE86 AF86 AG86 AH86 AI86 BE86 T88 AC104 AD104 AE104 AF104 AG104 AH104 AI104 BE104 T106 AC114 AD114 AE114 AF114 AG114 AH114 AI114 BE114 T116 AC124 AD124 AE124 AF124 AG124 AH124 AI124 BE124 T126 AC134 AD134 AE134 AF134 AG134 AH134 AI134 BE134 T136 AC142 AD142 AE142 AF142 AG142 AH142 AI142 BE142 T144 AC152 AD152 AE152 AF152 AG152 AH152 AI152 BE152 T154 AC162 AD162 AE162 AF162 AG162 AH162 AI162 BE162 T164 AC196 AD196 AE196 AF196 AG196 AH196 AI196 BE196 T198 AC170 AD170 AE170 AF170 AG170 AH170 AI170 BE170 T172 AC178 AD178 AE178 AF178 AG178 AH178 AI178 BE178 T180 AC186 AD186 AE186 AF186 AG186 AH186 AI186 BE186 T188 AC94 AD94 AE94 AF94 AG94 AH94 AI94 BE94 T96">
      <formula1>900</formula1>
    </dataValidation>
    <dataValidation type="list" allowBlank="1" showInputMessage="1" showErrorMessage="1" errorTitle="Ошибка" error="Выберите значение из списка" sqref="V983232 V65728 V131264 V196800 V262336 V327872 V393408 V458944 V524480 V590016 V655552 V721088 V786624 V852160 V917696 AC983232 AC65728 AC131264 AC196800 AC262336 AC327872 AC393408 AC458944 AC524480 AC590016 AC655552 AC721088 AC786624 AC852160 AC917696">
      <formula1>kind_of_scheme_in</formula1>
    </dataValidation>
    <dataValidation allowBlank="1" promptTitle="checkPeriodRange" sqref="X65731 X131267 X196803 X262339 X327875 X393411 X458947 X524483 X590019 X655555 X721091 X786627 X852163 X917699 X983235 AE16 AE65731 AE131267 AE196803 AE262339 AE327875 AE393411 AE458947 AE524483 AE590019 AE655555 AE721091 AE786627 AE852163 AE917699 AE983235 AE47 AE8 X8 X47 X55 AE55 X63 AE63 X71 AE71 X79 AE79 X89 AE89 X107 AE107 X117 AE117 X127 AE127 X137 AE137 X145 AE145 X155 AE155 X165 AE165 X199 AE199 X173 AE173 X181 AE181 X189 AE189 AL8 AL47 AL55 AL63 AL71 AL79 AL89 AL107 AL117 AL127 AL137 AL145 AL155 AL165 AL173 AL181 AL189 AL199 AS8 AS47 AS55 AS63 AS71 AS79 AS89 AS107 AS117 AS127 AS137 AS145 AS155 AS165 AS173 AS181 AS189 AS199 AZ8 AZ47 AZ55 AZ63 AZ71 AZ79 AZ89 AZ107 AZ117 AZ127 AZ137 AZ145 AZ155 AZ165 AZ173 AZ181 AZ189 AZ199 X97 AE97 AL97 AS97 AZ9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D52A8-A8C5-D5EE-D98A-E43BA676808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7" width="10.57421875" hidden="1"/>
    <col min="2" max="2" style="5467" width="11.00390625" hidden="1" customWidth="1"/>
    <col min="3" max="3" style="5467" width="10.57421875" hidden="1"/>
    <col min="4" max="4" style="5467" width="11.8515625" hidden="1" customWidth="1"/>
    <col min="5" max="5" style="5467" width="10.00390625" hidden="1" customWidth="1"/>
    <col min="6" max="6" style="5467" width="8.7109375" hidden="1" customWidth="1"/>
    <col min="7" max="7" style="5467" width="7.57421875" hidden="1" customWidth="1"/>
    <col min="8" max="8" style="5467" width="11.421875" hidden="1" customWidth="1"/>
    <col min="9" max="9" style="5467" width="14.140625" hidden="1" customWidth="1"/>
    <col min="10" max="10" style="5467" width="9.8515625" hidden="1" customWidth="1"/>
    <col min="11" max="11" style="5467" width="14.7109375" hidden="1" customWidth="1"/>
    <col min="12" max="12" style="6316" width="19.140625" hidden="1" customWidth="1"/>
    <col min="13" max="14" style="6317" width="12.28125" hidden="1" customWidth="1"/>
    <col min="15" max="15" style="6317" width="23.421875" hidden="1" customWidth="1"/>
    <col min="16" max="16" style="6318" width="3.00390625" customWidth="1"/>
    <col min="17" max="18" style="6319" width="3.00390625" customWidth="1"/>
    <col min="19" max="19" style="6320" width="12.00390625" customWidth="1"/>
    <col min="20" max="20" style="5387" width="35.00390625" customWidth="1"/>
    <col min="21" max="21" style="5387" width="0.140625" customWidth="1"/>
    <col min="22" max="24" style="5387" width="24.7109375" hidden="1" customWidth="1"/>
    <col min="25" max="25" style="5387" width="11.7109375" hidden="1" customWidth="1"/>
    <col min="26" max="26" style="5387" width="3.7109375" hidden="1" customWidth="1"/>
    <col min="27" max="27" style="5387" width="11.7109375" hidden="1" customWidth="1"/>
    <col min="28" max="28" style="5387" width="8.57421875" hidden="1" customWidth="1"/>
    <col min="29" max="29" style="5387" width="24.7109375" customWidth="1"/>
    <col min="30" max="31" style="5387" width="24.00390625" customWidth="1"/>
    <col min="32" max="32" style="5387" width="11.00390625" customWidth="1"/>
    <col min="33" max="33" style="5387" width="3.7109375" customWidth="1"/>
    <col min="34" max="34" style="5387" width="11.00390625" customWidth="1"/>
    <col min="35" max="35" style="5387" width="8.57421875" hidden="1" customWidth="1"/>
    <col min="36" max="36" style="5387" width="4.00390625" customWidth="1"/>
    <col min="37" max="37" style="5387" width="115.00390625" customWidth="1"/>
    <col min="38" max="42" style="5468" width="10.00390625" customWidth="1"/>
    <col min="43" max="43" style="538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155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490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491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606</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607</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573</v>
      </c>
      <c r="U5" s="413"/>
      <c r="V5" s="2463"/>
      <c r="W5" s="2464"/>
      <c r="X5" s="2464"/>
      <c r="Y5" s="2464"/>
      <c r="Z5" s="2464"/>
      <c r="AA5" s="2464"/>
      <c r="AB5" s="2465"/>
      <c r="AC5" s="2466"/>
      <c r="AD5" s="2467"/>
      <c r="AE5" s="2467"/>
      <c r="AF5" s="2467"/>
      <c r="AG5" s="2467"/>
      <c r="AH5" s="2467"/>
      <c r="AI5" s="2467"/>
      <c r="AJ5" s="2468"/>
      <c r="AK5" s="1371" t="s">
        <v>574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499</v>
      </c>
      <c r="P6" s="2370"/>
      <c r="Q6" s="2370">
        <v>1</v>
      </c>
      <c r="R6" s="470"/>
      <c r="S6" s="1606">
        <f>$J6</f>
      </c>
      <c r="T6" s="399" t="s">
        <v>500</v>
      </c>
      <c r="U6" s="413"/>
      <c r="V6" s="2358"/>
      <c r="W6" s="2359"/>
      <c r="X6" s="2359"/>
      <c r="Y6" s="2359"/>
      <c r="Z6" s="2359"/>
      <c r="AA6" s="2359"/>
      <c r="AB6" s="2360"/>
      <c r="AC6" s="2358"/>
      <c r="AD6" s="2359"/>
      <c r="AE6" s="2359"/>
      <c r="AF6" s="2359"/>
      <c r="AG6" s="2359"/>
      <c r="AH6" s="2359"/>
      <c r="AI6" s="2359"/>
      <c r="AJ6" s="2360"/>
      <c r="AK6" s="1420" t="s">
        <v>575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576</v>
      </c>
      <c r="U9" s="480"/>
      <c r="V9" s="480"/>
      <c r="W9" s="480"/>
      <c r="X9" s="480"/>
      <c r="Y9" s="480"/>
      <c r="Z9" s="480"/>
      <c r="AA9" s="480"/>
      <c r="AB9" s="480"/>
      <c r="AC9" s="480"/>
      <c r="AD9" s="480"/>
      <c r="AE9" s="480"/>
      <c r="AF9" s="480"/>
      <c r="AG9" s="480"/>
      <c r="AH9" s="480"/>
      <c r="AI9" s="480"/>
      <c r="AJ9" s="480"/>
      <c r="AK9" s="1371" t="s">
        <v>577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505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578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312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360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7" customFormat="1" customHeight="1" ht="22.5" hidden="1">
      <c r="L18" s="1591"/>
      <c r="M18" s="1475"/>
      <c r="N18" s="1475"/>
      <c r="O18" s="1480" t="s">
        <v>508</v>
      </c>
      <c r="P18" s="1475"/>
      <c r="Q18" s="1484"/>
      <c r="R18" s="1484"/>
      <c r="S18" s="842"/>
      <c r="Y18" s="1480"/>
      <c r="AA18" s="1480"/>
      <c r="AB18" s="1479"/>
      <c r="AF18" s="1480"/>
      <c r="AH18" s="1480"/>
      <c r="AI18" s="1479"/>
      <c r="AL18" s="624"/>
      <c r="AM18" s="624"/>
      <c r="AN18" s="624"/>
      <c r="AO18" s="624"/>
      <c r="AP18" s="624"/>
      <c r="AQ18" s="1273">
        <v>0</v>
      </c>
    </row>
    <row s="5467" customFormat="1" customHeight="1" ht="14.25" hidden="1">
      <c r="L19" s="1591"/>
      <c r="M19" s="1475"/>
      <c r="N19" s="1475"/>
      <c r="O19" s="1475"/>
      <c r="P19" s="1475"/>
      <c r="Q19" s="1484"/>
      <c r="R19" s="1484"/>
      <c r="S19" s="842"/>
      <c r="AB19" s="1479"/>
      <c r="AI19" s="1479"/>
      <c r="AL19" s="624"/>
      <c r="AM19" s="624"/>
      <c r="AN19" s="624"/>
      <c r="AO19" s="624"/>
      <c r="AP19" s="624"/>
      <c r="AQ19" s="1273">
        <v>0</v>
      </c>
    </row>
    <row s="5467" customFormat="1" customHeight="1" ht="12" hidden="1">
      <c r="L20" s="1591"/>
      <c r="M20" s="1475"/>
      <c r="N20" s="1475"/>
      <c r="O20" s="1477" t="s">
        <v>509</v>
      </c>
      <c r="P20" s="1475"/>
      <c r="Q20" s="1555"/>
      <c r="R20" s="1555"/>
      <c r="S20" s="842"/>
      <c r="T20" s="1273" t="s">
        <v>510</v>
      </c>
      <c r="Z20" s="299" t="s">
        <v>511</v>
      </c>
      <c r="AB20" s="299" t="s">
        <v>512</v>
      </c>
      <c r="AC20" s="1273" t="s">
        <v>510</v>
      </c>
      <c r="AG20" s="299" t="s">
        <v>513</v>
      </c>
      <c r="AI20" s="299" t="s">
        <v>512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0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04" customFormat="1" customHeight="1" ht="18.75" hidden="1">
      <c r="A28" s="1481"/>
      <c r="B28" s="1481"/>
      <c r="C28" s="1481"/>
      <c r="D28" s="1481"/>
      <c r="E28" s="1481"/>
      <c r="F28" s="1481"/>
      <c r="G28" s="1481"/>
      <c r="H28" s="1481"/>
      <c r="I28" s="1481"/>
      <c r="J28" s="1481"/>
      <c r="K28" s="1481"/>
      <c r="L28" s="1482"/>
      <c r="M28" s="1481"/>
      <c r="N28" s="1481"/>
      <c r="O28" s="1481"/>
      <c r="S28" s="2363" t="s">
        <v>514</v>
      </c>
      <c r="T28" s="2363"/>
      <c r="U28" s="1485"/>
      <c r="V28" s="2377" t="str">
        <f>IF(TITLE_DATE_PR_CHANGE="",IF(TITLE_DATE_PR="","",TITLE_DATE_PR),TITLE_DATE_PR_CHANGE)</f>
        <v>45408.605891203704</v>
      </c>
      <c r="W28" s="2377"/>
      <c r="X28" s="2377"/>
      <c r="Y28" s="2377"/>
      <c r="Z28" s="2377"/>
      <c r="AA28" s="2377"/>
      <c r="AB28" s="439"/>
      <c r="AC28" s="2377" t="str">
        <f>IF(TITLE_DATE_PR_CHANGE="",IF(TITLE_DATE_PR="","",TITLE_DATE_PR),TITLE_DATE_PR_CHANGE)</f>
        <v>45408.605891203704</v>
      </c>
      <c r="AD28" s="2377"/>
      <c r="AE28" s="2377"/>
      <c r="AF28" s="2377"/>
      <c r="AG28" s="2377"/>
      <c r="AH28" s="2377"/>
      <c r="AI28" s="439"/>
      <c r="AJ28" s="439"/>
      <c r="AK28" s="393"/>
      <c r="AL28" s="481"/>
      <c r="AM28" s="481"/>
      <c r="AN28" s="481"/>
      <c r="AO28" s="481"/>
      <c r="AP28" s="481"/>
      <c r="AQ28" s="531">
        <v>0</v>
      </c>
    </row>
    <row s="5604" customFormat="1" customHeight="1" ht="18.75" hidden="1">
      <c r="A29" s="1481"/>
      <c r="B29" s="1481"/>
      <c r="C29" s="1481"/>
      <c r="D29" s="1481"/>
      <c r="E29" s="1481"/>
      <c r="F29" s="1481"/>
      <c r="G29" s="1481"/>
      <c r="H29" s="1481"/>
      <c r="I29" s="1481"/>
      <c r="J29" s="1481"/>
      <c r="K29" s="1481"/>
      <c r="L29" s="1482"/>
      <c r="M29" s="1481"/>
      <c r="N29" s="1481"/>
      <c r="O29" s="1481"/>
      <c r="S29" s="2363" t="s">
        <v>515</v>
      </c>
      <c r="T29" s="2363"/>
      <c r="U29" s="1485"/>
      <c r="V29" s="2364" t="str">
        <f>IF(TITLE_NUMBER_PR_CHANGE="",IF(TITLE_NUMBER_PR="","",TITLE_NUMBER_PR),TITLE_NUMBER_PR_CHANGE)</f>
        <v>27-2139</v>
      </c>
      <c r="W29" s="2364"/>
      <c r="X29" s="2364"/>
      <c r="Y29" s="2364"/>
      <c r="Z29" s="2364"/>
      <c r="AA29" s="2364"/>
      <c r="AB29" s="439"/>
      <c r="AC29" s="2364" t="str">
        <f>IF(TITLE_NUMBER_PR_CHANGE="",IF(TITLE_NUMBER_PR="","",TITLE_NUMBER_PR),TITLE_NUMBER_PR_CHANGE)</f>
        <v>27-2139</v>
      </c>
      <c r="AD29" s="2364"/>
      <c r="AE29" s="2364"/>
      <c r="AF29" s="2364"/>
      <c r="AG29" s="2364"/>
      <c r="AH29" s="2364"/>
      <c r="AI29" s="439"/>
      <c r="AJ29" s="439"/>
      <c r="AK29" s="393"/>
      <c r="AL29" s="481"/>
      <c r="AM29" s="481"/>
      <c r="AN29" s="481"/>
      <c r="AO29" s="481"/>
      <c r="AP29" s="481"/>
      <c r="AQ29" s="531">
        <v>0</v>
      </c>
    </row>
    <row s="560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04" customFormat="1" customHeight="1" ht="18.75">
      <c r="A32" s="1481"/>
      <c r="B32" s="1481"/>
      <c r="C32" s="1481"/>
      <c r="D32" s="1481"/>
      <c r="E32" s="1481"/>
      <c r="F32" s="1481"/>
      <c r="G32" s="1481"/>
      <c r="H32" s="1481"/>
      <c r="I32" s="1481"/>
      <c r="J32" s="1481"/>
      <c r="K32" s="1481"/>
      <c r="L32" s="1482"/>
      <c r="M32" s="1481"/>
      <c r="N32" s="1481"/>
      <c r="O32" s="1481"/>
      <c r="S32" s="2363" t="s">
        <v>516</v>
      </c>
      <c r="T32" s="2363"/>
      <c r="U32" s="1485"/>
      <c r="V32" s="2377" t="str">
        <f>IF(TITLE_DATE_PR_CHANGE="",IF(TITLE_DATE_PR="","",TITLE_DATE_PR),TITLE_DATE_PR_CHANGE)</f>
        <v>45408.605891203704</v>
      </c>
      <c r="W32" s="2377"/>
      <c r="X32" s="2377"/>
      <c r="Y32" s="2377"/>
      <c r="Z32" s="2377"/>
      <c r="AA32" s="2377"/>
      <c r="AB32" s="439"/>
      <c r="AC32" s="2377" t="str">
        <f>IF(TITLE_DATE_PR_CHANGE="",IF(TITLE_DATE_PR="","",TITLE_DATE_PR),TITLE_DATE_PR_CHANGE)</f>
        <v>45408.605891203704</v>
      </c>
      <c r="AD32" s="2377"/>
      <c r="AE32" s="2377"/>
      <c r="AF32" s="2377"/>
      <c r="AG32" s="2377"/>
      <c r="AH32" s="2377"/>
      <c r="AI32" s="439"/>
      <c r="AJ32" s="439"/>
      <c r="AK32" s="393"/>
      <c r="AL32" s="481"/>
      <c r="AM32" s="481"/>
      <c r="AN32" s="481"/>
      <c r="AO32" s="481"/>
      <c r="AP32" s="481"/>
      <c r="AQ32" s="531">
        <v>0</v>
      </c>
    </row>
    <row s="5604" customFormat="1" customHeight="1" ht="18.75">
      <c r="A33" s="1481"/>
      <c r="B33" s="1481"/>
      <c r="C33" s="1481"/>
      <c r="D33" s="1481"/>
      <c r="E33" s="1481"/>
      <c r="F33" s="1481"/>
      <c r="G33" s="1481"/>
      <c r="H33" s="1481"/>
      <c r="I33" s="1481"/>
      <c r="J33" s="1481"/>
      <c r="K33" s="1481"/>
      <c r="L33" s="1482"/>
      <c r="M33" s="1481"/>
      <c r="N33" s="1481"/>
      <c r="O33" s="1481"/>
      <c r="S33" s="2363" t="s">
        <v>517</v>
      </c>
      <c r="T33" s="2363"/>
      <c r="U33" s="1485"/>
      <c r="V33" s="2364" t="str">
        <f>IF(TITLE_NUMBER_PR_CHANGE="",IF(TITLE_NUMBER_PR="","",TITLE_NUMBER_PR),TITLE_NUMBER_PR_CHANGE)</f>
        <v>27-2139</v>
      </c>
      <c r="W33" s="2364"/>
      <c r="X33" s="2364"/>
      <c r="Y33" s="2364"/>
      <c r="Z33" s="2364"/>
      <c r="AA33" s="2364"/>
      <c r="AB33" s="439"/>
      <c r="AC33" s="2364" t="str">
        <f>IF(TITLE_NUMBER_PR_CHANGE="",IF(TITLE_NUMBER_PR="","",TITLE_NUMBER_PR),TITLE_NUMBER_PR_CHANGE)</f>
        <v>27-2139</v>
      </c>
      <c r="AD33" s="2364"/>
      <c r="AE33" s="2364"/>
      <c r="AF33" s="2364"/>
      <c r="AG33" s="2364"/>
      <c r="AH33" s="2364"/>
      <c r="AI33" s="439"/>
      <c r="AJ33" s="439"/>
      <c r="AK33" s="393"/>
      <c r="AL33" s="481"/>
      <c r="AM33" s="481"/>
      <c r="AN33" s="481"/>
      <c r="AO33" s="481"/>
      <c r="AP33" s="481"/>
      <c r="AQ33" s="531">
        <v>0</v>
      </c>
    </row>
    <row s="560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518</v>
      </c>
      <c r="AC34" s="439"/>
      <c r="AD34" s="439"/>
      <c r="AE34" s="439"/>
      <c r="AF34" s="439"/>
      <c r="AG34" s="439"/>
      <c r="AH34" s="439"/>
      <c r="AI34" s="391" t="s">
        <v>518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393</v>
      </c>
      <c r="T36" s="2240"/>
      <c r="U36" s="2240"/>
      <c r="V36" s="2240"/>
      <c r="W36" s="2240"/>
      <c r="X36" s="2240"/>
      <c r="Y36" s="2240"/>
      <c r="Z36" s="2240"/>
      <c r="AA36" s="2240"/>
      <c r="AB36" s="2240"/>
      <c r="AC36" s="2240"/>
      <c r="AD36" s="2240"/>
      <c r="AE36" s="2240"/>
      <c r="AF36" s="2240"/>
      <c r="AG36" s="2240"/>
      <c r="AH36" s="2240"/>
      <c r="AI36" s="2240"/>
      <c r="AJ36" s="2240"/>
      <c r="AK36" s="2240" t="s">
        <v>394</v>
      </c>
      <c r="AQ36" s="1268">
        <v>14</v>
      </c>
    </row>
    <row customHeight="1" ht="14.699999999999998">
      <c r="Q37" s="489"/>
      <c r="R37" s="489"/>
      <c r="S37" s="2386" t="s">
        <v>88</v>
      </c>
      <c r="T37" s="2322" t="s">
        <v>519</v>
      </c>
      <c r="U37" s="414"/>
      <c r="V37" s="2387" t="s">
        <v>520</v>
      </c>
      <c r="W37" s="2388"/>
      <c r="X37" s="2388"/>
      <c r="Y37" s="2388"/>
      <c r="Z37" s="2388"/>
      <c r="AA37" s="2389"/>
      <c r="AB37" s="2390" t="s">
        <v>521</v>
      </c>
      <c r="AC37" s="2387" t="s">
        <v>520</v>
      </c>
      <c r="AD37" s="2388"/>
      <c r="AE37" s="2388"/>
      <c r="AF37" s="2388"/>
      <c r="AG37" s="2388"/>
      <c r="AH37" s="2389"/>
      <c r="AI37" s="2390" t="s">
        <v>522</v>
      </c>
      <c r="AJ37" s="2393" t="s">
        <v>523</v>
      </c>
      <c r="AK37" s="2240"/>
      <c r="AQ37" s="1268">
        <v>14</v>
      </c>
    </row>
    <row customHeight="1" ht="35.699999999999996">
      <c r="Q38" s="489"/>
      <c r="R38" s="489"/>
      <c r="S38" s="2386"/>
      <c r="T38" s="2322"/>
      <c r="U38" s="1144"/>
      <c r="V38" s="1596" t="s">
        <v>579</v>
      </c>
      <c r="W38" s="2375" t="s">
        <v>526</v>
      </c>
      <c r="X38" s="2376"/>
      <c r="Y38" s="2375" t="s">
        <v>527</v>
      </c>
      <c r="Z38" s="2382"/>
      <c r="AA38" s="2376"/>
      <c r="AB38" s="2391"/>
      <c r="AC38" s="1596" t="s">
        <v>579</v>
      </c>
      <c r="AD38" s="2375" t="s">
        <v>526</v>
      </c>
      <c r="AE38" s="2376"/>
      <c r="AF38" s="2375" t="s">
        <v>527</v>
      </c>
      <c r="AG38" s="2382"/>
      <c r="AH38" s="2376"/>
      <c r="AI38" s="2391"/>
      <c r="AJ38" s="2394"/>
      <c r="AK38" s="2240"/>
      <c r="AQ38" s="1268">
        <v>34</v>
      </c>
    </row>
    <row customHeight="1" ht="90.3">
      <c r="A39" s="1483"/>
      <c r="B39" s="1483" t="s">
        <v>167</v>
      </c>
      <c r="C39" s="1483" t="s">
        <v>168</v>
      </c>
      <c r="D39" s="1483" t="s">
        <v>169</v>
      </c>
      <c r="E39" s="1477" t="s">
        <v>528</v>
      </c>
      <c r="F39" s="1477" t="s">
        <v>529</v>
      </c>
      <c r="G39" s="1477" t="s">
        <v>530</v>
      </c>
      <c r="H39" s="1477"/>
      <c r="I39" s="1477" t="s">
        <v>580</v>
      </c>
      <c r="J39" s="1477" t="s">
        <v>533</v>
      </c>
      <c r="K39" s="1477" t="s">
        <v>581</v>
      </c>
      <c r="L39" s="1477" t="s">
        <v>509</v>
      </c>
      <c r="Q39" s="489"/>
      <c r="R39" s="489"/>
      <c r="S39" s="2386"/>
      <c r="T39" s="2322"/>
      <c r="U39" s="415"/>
      <c r="V39" s="1596" t="s">
        <v>608</v>
      </c>
      <c r="W39" s="1335" t="s">
        <v>609</v>
      </c>
      <c r="X39" s="1335" t="s">
        <v>584</v>
      </c>
      <c r="Y39" s="1602" t="s">
        <v>537</v>
      </c>
      <c r="Z39" s="2383" t="s">
        <v>538</v>
      </c>
      <c r="AA39" s="2384"/>
      <c r="AB39" s="2392"/>
      <c r="AC39" s="1596" t="s">
        <v>608</v>
      </c>
      <c r="AD39" s="1335" t="s">
        <v>609</v>
      </c>
      <c r="AE39" s="1335" t="s">
        <v>584</v>
      </c>
      <c r="AF39" s="1602" t="s">
        <v>537</v>
      </c>
      <c r="AG39" s="2383" t="s">
        <v>538</v>
      </c>
      <c r="AH39" s="2384"/>
      <c r="AI39" s="2392"/>
      <c r="AJ39" s="2395"/>
      <c r="AK39" s="2240"/>
      <c r="AQ39" s="1268">
        <v>86</v>
      </c>
    </row>
    <row s="607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136</v>
      </c>
      <c r="T40" s="1368" t="s">
        <v>103</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364</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155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364</v>
      </c>
      <c r="B42" s="1476" t="s">
        <v>365</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490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491</v>
      </c>
      <c r="AM42" s="613"/>
      <c r="AN42" s="613" t="str">
        <f>IF(T42="","",T42)</f>
        <v>Территория действия тарифа</v>
      </c>
      <c r="AO42" s="613"/>
      <c r="AP42" s="613"/>
      <c r="AQ42" s="1268">
        <v>23</v>
      </c>
    </row>
    <row customHeight="1" ht="24">
      <c r="A43" s="1476" t="s">
        <v>364</v>
      </c>
      <c r="B43" s="1476" t="s">
        <v>365</v>
      </c>
      <c r="C43" s="1476" t="s">
        <v>366</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606</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607</v>
      </c>
      <c r="AM43" s="613"/>
      <c r="AN43" s="613" t="str">
        <f>IF(T43="","",T43)</f>
        <v>Наименование централизованной системы водоотведения</v>
      </c>
      <c r="AO43" s="613"/>
      <c r="AP43" s="613"/>
      <c r="AQ43" s="1268">
        <v>23</v>
      </c>
    </row>
    <row customHeight="1" ht="24">
      <c r="A44" s="1476" t="s">
        <v>364</v>
      </c>
      <c r="B44" s="1476" t="s">
        <v>365</v>
      </c>
      <c r="C44" s="1476" t="s">
        <v>366</v>
      </c>
      <c r="D44" s="1476" t="s">
        <v>612</v>
      </c>
      <c r="E44" s="2372"/>
      <c r="F44" s="2372"/>
      <c r="G44" s="2372"/>
      <c r="H44" s="2372"/>
      <c r="I44" s="2369" t="str">
        <f>S43&amp;".1"</f>
        <v>...1</v>
      </c>
      <c r="J44" s="1476"/>
      <c r="K44" s="1476"/>
      <c r="L44" s="1477"/>
      <c r="P44" s="2370">
        <v>1</v>
      </c>
      <c r="Q44" s="1594"/>
      <c r="R44" s="469"/>
      <c r="S44" s="1606" t="str">
        <f>$I44</f>
        <v>...1</v>
      </c>
      <c r="T44" s="398" t="s">
        <v>573</v>
      </c>
      <c r="U44" s="413"/>
      <c r="V44" s="2463"/>
      <c r="W44" s="2464"/>
      <c r="X44" s="2464"/>
      <c r="Y44" s="2464"/>
      <c r="Z44" s="2464"/>
      <c r="AA44" s="2464"/>
      <c r="AB44" s="2465"/>
      <c r="AC44" s="2466"/>
      <c r="AD44" s="2467"/>
      <c r="AE44" s="2467"/>
      <c r="AF44" s="2467"/>
      <c r="AG44" s="2467"/>
      <c r="AH44" s="2467"/>
      <c r="AI44" s="2467"/>
      <c r="AJ44" s="2468"/>
      <c r="AK44" s="1371" t="s">
        <v>574</v>
      </c>
      <c r="AM44" s="613"/>
      <c r="AN44" s="613" t="str">
        <f>IF(T44="","",T44)</f>
        <v>Наименование признака дифференциации</v>
      </c>
      <c r="AO44" s="613"/>
      <c r="AP44" s="613"/>
      <c r="AQ44" s="1268">
        <v>23</v>
      </c>
    </row>
    <row customHeight="1" ht="24">
      <c r="A45" s="1476" t="s">
        <v>364</v>
      </c>
      <c r="B45" s="1476" t="s">
        <v>365</v>
      </c>
      <c r="C45" s="1476" t="s">
        <v>366</v>
      </c>
      <c r="D45" s="1476" t="s">
        <v>612</v>
      </c>
      <c r="E45" s="2372"/>
      <c r="F45" s="2372"/>
      <c r="G45" s="2372"/>
      <c r="H45" s="2372"/>
      <c r="I45" s="2399"/>
      <c r="J45" s="2369" t="str">
        <f>I44&amp;".1"</f>
        <v>...1.1</v>
      </c>
      <c r="K45" s="1476"/>
      <c r="L45" s="1477" t="s">
        <v>499</v>
      </c>
      <c r="P45" s="2370"/>
      <c r="Q45" s="2370">
        <v>1</v>
      </c>
      <c r="R45" s="470"/>
      <c r="S45" s="1606" t="str">
        <f>$J45</f>
        <v>...1.1</v>
      </c>
      <c r="T45" s="399" t="s">
        <v>500</v>
      </c>
      <c r="U45" s="413"/>
      <c r="V45" s="2358"/>
      <c r="W45" s="2359"/>
      <c r="X45" s="2359"/>
      <c r="Y45" s="2359"/>
      <c r="Z45" s="2359"/>
      <c r="AA45" s="2359"/>
      <c r="AB45" s="2360"/>
      <c r="AC45" s="2358"/>
      <c r="AD45" s="2359"/>
      <c r="AE45" s="2359"/>
      <c r="AF45" s="2359"/>
      <c r="AG45" s="2359"/>
      <c r="AH45" s="2359"/>
      <c r="AI45" s="2359"/>
      <c r="AJ45" s="2360"/>
      <c r="AK45" s="1420" t="s">
        <v>575</v>
      </c>
      <c r="AM45" s="613"/>
      <c r="AN45" s="613" t="str">
        <f>IF(T45="","",T45)</f>
        <v>Группа потребителей</v>
      </c>
      <c r="AO45" s="613"/>
      <c r="AP45" s="613"/>
      <c r="AQ45" s="1268">
        <v>23</v>
      </c>
    </row>
    <row customHeight="1" ht="24">
      <c r="A46" s="1476" t="s">
        <v>364</v>
      </c>
      <c r="B46" s="1476" t="s">
        <v>365</v>
      </c>
      <c r="C46" s="1476" t="s">
        <v>366</v>
      </c>
      <c r="D46" s="1476" t="s">
        <v>612</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364</v>
      </c>
      <c r="B47" s="1476" t="s">
        <v>365</v>
      </c>
      <c r="C47" s="1476" t="s">
        <v>366</v>
      </c>
      <c r="D47" s="1476" t="s">
        <v>612</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364</v>
      </c>
      <c r="B48" s="1476" t="s">
        <v>365</v>
      </c>
      <c r="C48" s="1476" t="s">
        <v>366</v>
      </c>
      <c r="D48" s="1476" t="s">
        <v>612</v>
      </c>
      <c r="E48" s="2372"/>
      <c r="F48" s="2372"/>
      <c r="G48" s="2372"/>
      <c r="H48" s="2372"/>
      <c r="I48" s="2399"/>
      <c r="J48" s="2369"/>
      <c r="K48" s="1476"/>
      <c r="L48" s="1477"/>
      <c r="P48" s="2370"/>
      <c r="Q48" s="2370"/>
      <c r="R48" s="469"/>
      <c r="S48" s="1391"/>
      <c r="T48" s="400" t="s">
        <v>576</v>
      </c>
      <c r="U48" s="480"/>
      <c r="V48" s="480"/>
      <c r="W48" s="480"/>
      <c r="X48" s="480"/>
      <c r="Y48" s="480"/>
      <c r="Z48" s="480"/>
      <c r="AA48" s="480"/>
      <c r="AB48" s="480"/>
      <c r="AC48" s="480"/>
      <c r="AD48" s="480"/>
      <c r="AE48" s="480"/>
      <c r="AF48" s="480"/>
      <c r="AG48" s="480"/>
      <c r="AH48" s="480"/>
      <c r="AI48" s="480"/>
      <c r="AJ48" s="480"/>
      <c r="AK48" s="1371" t="s">
        <v>577</v>
      </c>
      <c r="AM48" s="613"/>
      <c r="AN48" s="613" t="str">
        <f>IF(T48="","",T48)</f>
        <v>Добавить значение признака дифференциации</v>
      </c>
      <c r="AO48" s="613"/>
      <c r="AP48" s="613"/>
      <c r="AQ48" s="1268">
        <v>20</v>
      </c>
    </row>
    <row customHeight="1" ht="22.049999999999997">
      <c r="A49" s="1476" t="s">
        <v>364</v>
      </c>
      <c r="B49" s="1476" t="s">
        <v>365</v>
      </c>
      <c r="C49" s="1476" t="s">
        <v>366</v>
      </c>
      <c r="D49" s="1476" t="s">
        <v>612</v>
      </c>
      <c r="E49" s="2372"/>
      <c r="F49" s="2372"/>
      <c r="G49" s="2372"/>
      <c r="H49" s="2372"/>
      <c r="I49" s="2369"/>
      <c r="J49" s="1476"/>
      <c r="K49" s="1476"/>
      <c r="L49" s="1477"/>
      <c r="P49" s="2370"/>
      <c r="Q49" s="1594"/>
      <c r="R49" s="469"/>
      <c r="S49" s="1391"/>
      <c r="T49" s="478" t="s">
        <v>505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364</v>
      </c>
      <c r="B50" s="1476" t="s">
        <v>365</v>
      </c>
      <c r="C50" s="1476" t="s">
        <v>366</v>
      </c>
      <c r="D50" s="1476" t="s">
        <v>612</v>
      </c>
      <c r="E50" s="2372"/>
      <c r="F50" s="2372"/>
      <c r="G50" s="2372"/>
      <c r="H50" s="2371"/>
      <c r="I50" s="1476"/>
      <c r="J50" s="1476"/>
      <c r="K50" s="1476"/>
      <c r="L50" s="1477"/>
      <c r="M50" s="1478"/>
      <c r="N50" s="1478"/>
      <c r="O50" s="650"/>
      <c r="P50" s="473"/>
      <c r="Q50" s="488"/>
      <c r="R50" s="468"/>
      <c r="S50" s="1391"/>
      <c r="T50" s="485" t="s">
        <v>578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8" customFormat="1" customHeight="1" ht="0">
      <c r="A51" s="1456" t="s">
        <v>364</v>
      </c>
      <c r="B51" s="1456" t="s">
        <v>365</v>
      </c>
      <c r="C51" s="1427"/>
      <c r="D51" s="1427"/>
      <c r="E51" s="2372"/>
      <c r="F51" s="2371"/>
      <c r="G51" s="1427"/>
      <c r="H51" s="1427"/>
      <c r="I51" s="1427"/>
      <c r="J51" s="1427"/>
      <c r="K51" s="1427"/>
      <c r="L51" s="1607"/>
      <c r="M51" s="1434"/>
      <c r="N51" s="1434"/>
      <c r="P51" s="1429"/>
      <c r="Q51" s="1430"/>
      <c r="R51" s="1429"/>
      <c r="S51" s="1435"/>
      <c r="T51" s="1438" t="s">
        <v>312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8" customFormat="1" customHeight="1" ht="0">
      <c r="A52" s="1456" t="s">
        <v>364</v>
      </c>
      <c r="B52" s="1456"/>
      <c r="C52" s="1456"/>
      <c r="D52" s="1456"/>
      <c r="E52" s="2371"/>
      <c r="F52" s="1456"/>
      <c r="G52" s="1456"/>
      <c r="H52" s="1456"/>
      <c r="I52" s="1456"/>
      <c r="J52" s="1456"/>
      <c r="K52" s="1456"/>
      <c r="L52" s="1459"/>
      <c r="M52" s="1434"/>
      <c r="N52" s="1434"/>
      <c r="O52" s="631"/>
      <c r="P52" s="493"/>
      <c r="Q52" s="1457"/>
      <c r="R52" s="493"/>
      <c r="S52" s="1435"/>
      <c r="T52" s="1438" t="s">
        <v>360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361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6E39A-C081-6633-C554-CB5A94EE624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67" width="11.57421875" hidden="1" customWidth="1"/>
    <col min="2" max="2" style="5467" width="11.00390625" hidden="1" customWidth="1"/>
    <col min="3" max="3" style="5467" width="10.57421875" hidden="1"/>
    <col min="4" max="4" style="5467" width="12.8515625" hidden="1" customWidth="1"/>
    <col min="5" max="5" style="5467" width="10.00390625" hidden="1" customWidth="1"/>
    <col min="6" max="6" style="5467" width="8.7109375" hidden="1" customWidth="1"/>
    <col min="7" max="7" style="5467" width="7.57421875" hidden="1" customWidth="1"/>
    <col min="8" max="8" style="5467" width="11.421875" hidden="1" customWidth="1"/>
    <col min="9" max="9" style="5467" width="12.00390625" hidden="1" customWidth="1"/>
    <col min="10" max="10" style="5467" width="9.8515625" hidden="1" customWidth="1"/>
    <col min="11" max="11" style="5467" width="11.421875" hidden="1" customWidth="1"/>
    <col min="12" max="12" style="6316" width="19.140625" hidden="1" customWidth="1"/>
    <col min="13" max="14" style="6317" width="12.28125" hidden="1" customWidth="1"/>
    <col min="15" max="15" style="6317" width="23.421875" hidden="1" customWidth="1"/>
    <col min="16" max="16" style="6317" width="3.7109375" hidden="1" customWidth="1"/>
    <col min="17" max="17" style="6502" width="3.7109375" hidden="1" customWidth="1"/>
    <col min="18" max="18" style="6319" width="3.00390625" customWidth="1"/>
    <col min="19" max="19" style="6320" width="12.00390625" customWidth="1"/>
    <col min="20" max="20" style="5387" width="31.00390625" customWidth="1"/>
    <col min="21" max="21" style="5387" width="0.140625" customWidth="1"/>
    <col min="22" max="25" style="5387" width="21.7109375" hidden="1" customWidth="1"/>
    <col min="26" max="26" style="5387" width="11.7109375" hidden="1" customWidth="1"/>
    <col min="27" max="27" style="5387" width="3.7109375" hidden="1" customWidth="1"/>
    <col min="28" max="28" style="5387" width="11.7109375" hidden="1" customWidth="1"/>
    <col min="29" max="29" style="5387" width="8.57421875" hidden="1" customWidth="1"/>
    <col min="30" max="30" style="5387" width="3.7109375" customWidth="1"/>
    <col min="31" max="32" style="5387" width="3.00390625" customWidth="1"/>
    <col min="33" max="33" style="5387" width="24.00390625" customWidth="1"/>
    <col min="34" max="34" style="5387" width="3.7109375" customWidth="1"/>
    <col min="35" max="36" style="5387" width="3.00390625" customWidth="1"/>
    <col min="37" max="37" style="5387" width="24.00390625" customWidth="1"/>
    <col min="38" max="38" style="5387" width="3.7109375" customWidth="1"/>
    <col min="39" max="40" style="5387" width="3.00390625" customWidth="1"/>
    <col min="41" max="41" style="5387" width="18.00390625" customWidth="1"/>
    <col min="42" max="42" style="5387" width="3.7109375" customWidth="1"/>
    <col min="43" max="44" style="5387" width="3.00390625" customWidth="1"/>
    <col min="45" max="45" style="5387" width="18.00390625" customWidth="1"/>
    <col min="46" max="49" style="5387" width="21.00390625" customWidth="1"/>
    <col min="50" max="50" style="5387" width="11.00390625" customWidth="1"/>
    <col min="51" max="51" style="5387" width="3.7109375" customWidth="1"/>
    <col min="52" max="52" style="5387" width="11.00390625" customWidth="1"/>
    <col min="53" max="53" style="5387" width="8.57421875" hidden="1" customWidth="1"/>
    <col min="54" max="54" style="5387" width="4.00390625" customWidth="1"/>
    <col min="55" max="55" style="5387" width="115.00390625" customWidth="1"/>
    <col min="56" max="60" style="5468" width="10.00390625" customWidth="1"/>
    <col min="61" max="61" style="538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155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490</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491</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606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607</v>
      </c>
      <c r="BE4" s="613"/>
      <c r="BF4" s="613" t="str">
        <f>IF(T4="","",T4)</f>
        <v>Наименование централизованной системы водоотведения</v>
      </c>
      <c r="BG4" s="613"/>
      <c r="BH4" s="613"/>
      <c r="BI4" s="1268">
        <v>0</v>
      </c>
    </row>
    <row s="546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495</v>
      </c>
      <c r="BE5" s="613"/>
      <c r="BF5" s="613" t="str">
        <f>IF(T5="","",T5)</f>
        <v/>
      </c>
      <c r="BG5" s="613"/>
      <c r="BH5" s="613"/>
      <c r="BI5" s="624">
        <v>0</v>
      </c>
    </row>
    <row s="5468" customFormat="1" customHeight="1" ht="14.25" hidden="1">
      <c r="A6" s="1456"/>
      <c r="B6" s="1456"/>
      <c r="C6" s="1456"/>
      <c r="D6" s="1456"/>
      <c r="E6" s="2372"/>
      <c r="F6" s="2372"/>
      <c r="G6" s="2372"/>
      <c r="H6" s="2372"/>
      <c r="I6" s="2369" t="str">
        <f>S5&amp;".1"</f>
        <v>.1</v>
      </c>
      <c r="J6" s="1456"/>
      <c r="K6" s="1456"/>
      <c r="L6" s="1459" t="s">
        <v>496</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591</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592</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613</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614</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595</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558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312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360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508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73" customFormat="1" customHeight="1" ht="14.25" hidden="1">
      <c r="M24" s="1621"/>
      <c r="N24" s="1621"/>
      <c r="O24" s="1622" t="s">
        <v>509</v>
      </c>
      <c r="P24" s="1621"/>
      <c r="Q24" s="1623"/>
      <c r="R24" s="1623"/>
      <c r="AA24" s="1620" t="s">
        <v>511</v>
      </c>
      <c r="AC24" s="1620" t="s">
        <v>512</v>
      </c>
      <c r="AD24" s="1620" t="s">
        <v>559</v>
      </c>
      <c r="AH24" s="1620" t="s">
        <v>559</v>
      </c>
      <c r="AK24" s="1620" t="s">
        <v>596</v>
      </c>
      <c r="AL24" s="1620" t="s">
        <v>559</v>
      </c>
      <c r="AP24" s="1620" t="s">
        <v>559</v>
      </c>
      <c r="AY24" s="1620" t="s">
        <v>511</v>
      </c>
      <c r="BA24" s="1620" t="s">
        <v>512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0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0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514</v>
      </c>
      <c r="T32" s="2363"/>
      <c r="U32" s="1485"/>
      <c r="V32" s="2377" t="str">
        <f>IF(TITLE_DATE_PR_CHANGE="",IF(TITLE_DATE_PR="","",TITLE_DATE_PR),TITLE_DATE_PR_CHANGE)</f>
        <v>45408.605891203704</v>
      </c>
      <c r="W32" s="2377"/>
      <c r="X32" s="2377"/>
      <c r="Y32" s="2377"/>
      <c r="Z32" s="2377"/>
      <c r="AA32" s="2377"/>
      <c r="AB32" s="2377"/>
      <c r="AC32" s="439"/>
      <c r="AD32" s="2377" t="str">
        <f>IF(TITLE_DATE_PR_CHANGE="",IF(TITLE_DATE_PR="","",TITLE_DATE_PR),TITLE_DATE_PR_CHANGE)</f>
        <v>45408.605891203704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0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515</v>
      </c>
      <c r="T33" s="2363"/>
      <c r="U33" s="1485"/>
      <c r="V33" s="2364" t="str">
        <f>IF(TITLE_NUMBER_PR_CHANGE="",IF(TITLE_NUMBER_PR="","",TITLE_NUMBER_PR),TITLE_NUMBER_PR_CHANGE)</f>
        <v>27-2139</v>
      </c>
      <c r="W33" s="2364"/>
      <c r="X33" s="2364"/>
      <c r="Y33" s="2364"/>
      <c r="Z33" s="2364"/>
      <c r="AA33" s="2364"/>
      <c r="AB33" s="2364"/>
      <c r="AC33" s="439"/>
      <c r="AD33" s="2364" t="str">
        <f>IF(TITLE_NUMBER_PR_CHANGE="",IF(TITLE_NUMBER_PR="","",TITLE_NUMBER_PR),TITLE_NUMBER_PR_CHANGE)</f>
        <v>27-2139</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0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04" customFormat="1" customHeight="1" ht="18.75">
      <c r="A36" s="1481"/>
      <c r="B36" s="1481"/>
      <c r="C36" s="1481"/>
      <c r="D36" s="1481"/>
      <c r="E36" s="1481"/>
      <c r="F36" s="1481"/>
      <c r="G36" s="1481"/>
      <c r="H36" s="1481"/>
      <c r="I36" s="1481"/>
      <c r="J36" s="1481"/>
      <c r="K36" s="1481"/>
      <c r="L36" s="1482"/>
      <c r="M36" s="1481"/>
      <c r="N36" s="1481"/>
      <c r="O36" s="1481"/>
      <c r="P36" s="1481"/>
      <c r="Q36" s="1481"/>
      <c r="S36" s="2363" t="s">
        <v>514</v>
      </c>
      <c r="T36" s="2363"/>
      <c r="U36" s="1485"/>
      <c r="V36" s="2377" t="str">
        <f>IF(TITLE_DATE_PR_CHANGE="",IF(TITLE_DATE_PR="","",TITLE_DATE_PR),TITLE_DATE_PR_CHANGE)</f>
        <v>45408.605891203704</v>
      </c>
      <c r="W36" s="2377"/>
      <c r="X36" s="2377"/>
      <c r="Y36" s="2377"/>
      <c r="Z36" s="2377"/>
      <c r="AA36" s="2377"/>
      <c r="AB36" s="2377"/>
      <c r="AC36" s="439"/>
      <c r="AD36" s="2377" t="str">
        <f>IF(TITLE_DATE_PR_CHANGE="",IF(TITLE_DATE_PR="","",TITLE_DATE_PR),TITLE_DATE_PR_CHANGE)</f>
        <v>45408.605891203704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04" customFormat="1" customHeight="1" ht="18.75">
      <c r="A37" s="1481"/>
      <c r="B37" s="1481"/>
      <c r="C37" s="1481"/>
      <c r="D37" s="1481"/>
      <c r="E37" s="1481"/>
      <c r="F37" s="1481"/>
      <c r="G37" s="1481"/>
      <c r="H37" s="1481"/>
      <c r="I37" s="1481"/>
      <c r="J37" s="1481"/>
      <c r="K37" s="1481"/>
      <c r="L37" s="1482"/>
      <c r="M37" s="1481"/>
      <c r="N37" s="1481"/>
      <c r="O37" s="1481"/>
      <c r="P37" s="1481"/>
      <c r="Q37" s="1481"/>
      <c r="S37" s="2363" t="s">
        <v>515</v>
      </c>
      <c r="T37" s="2363"/>
      <c r="U37" s="1485"/>
      <c r="V37" s="2364" t="str">
        <f>IF(TITLE_NUMBER_PR_CHANGE="",IF(TITLE_NUMBER_PR="","",TITLE_NUMBER_PR),TITLE_NUMBER_PR_CHANGE)</f>
        <v>27-2139</v>
      </c>
      <c r="W37" s="2364"/>
      <c r="X37" s="2364"/>
      <c r="Y37" s="2364"/>
      <c r="Z37" s="2364"/>
      <c r="AA37" s="2364"/>
      <c r="AB37" s="2364"/>
      <c r="AC37" s="439"/>
      <c r="AD37" s="2364" t="str">
        <f>IF(TITLE_NUMBER_PR_CHANGE="",IF(TITLE_NUMBER_PR="","",TITLE_NUMBER_PR),TITLE_NUMBER_PR_CHANGE)</f>
        <v>27-2139</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0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518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518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393</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394</v>
      </c>
      <c r="BI40" s="1268">
        <v>14</v>
      </c>
    </row>
    <row customHeight="1" ht="14.699999999999998">
      <c r="Q41" s="404"/>
      <c r="R41" s="489"/>
      <c r="S41" s="2386" t="s">
        <v>88</v>
      </c>
      <c r="T41" s="2322" t="s">
        <v>597</v>
      </c>
      <c r="U41" s="414"/>
      <c r="V41" s="2387" t="s">
        <v>520</v>
      </c>
      <c r="W41" s="2388"/>
      <c r="X41" s="2388"/>
      <c r="Y41" s="2388"/>
      <c r="Z41" s="2388"/>
      <c r="AA41" s="2388"/>
      <c r="AB41" s="2389"/>
      <c r="AC41" s="2390" t="s">
        <v>521</v>
      </c>
      <c r="AD41" s="2441" t="s">
        <v>615</v>
      </c>
      <c r="AE41" s="2404"/>
      <c r="AF41" s="2404"/>
      <c r="AG41" s="2442"/>
      <c r="AH41" s="2441" t="s">
        <v>616</v>
      </c>
      <c r="AI41" s="2404"/>
      <c r="AJ41" s="2404"/>
      <c r="AK41" s="2442"/>
      <c r="AL41" s="2441" t="s">
        <v>617</v>
      </c>
      <c r="AM41" s="2404"/>
      <c r="AN41" s="2404"/>
      <c r="AO41" s="2442"/>
      <c r="AP41" s="2441" t="s">
        <v>601</v>
      </c>
      <c r="AQ41" s="2404"/>
      <c r="AR41" s="2404"/>
      <c r="AS41" s="2442"/>
      <c r="AT41" s="2387" t="s">
        <v>520</v>
      </c>
      <c r="AU41" s="2388"/>
      <c r="AV41" s="2388"/>
      <c r="AW41" s="2388"/>
      <c r="AX41" s="2388"/>
      <c r="AY41" s="2388"/>
      <c r="AZ41" s="2389"/>
      <c r="BA41" s="2390" t="s">
        <v>521</v>
      </c>
      <c r="BB41" s="2393" t="s">
        <v>523</v>
      </c>
      <c r="BC41" s="2240"/>
      <c r="BI41" s="1268">
        <v>14</v>
      </c>
    </row>
    <row customHeight="1" ht="35.699999999999996">
      <c r="Q42" s="404"/>
      <c r="R42" s="489"/>
      <c r="S42" s="2386"/>
      <c r="T42" s="2322"/>
      <c r="U42" s="1144"/>
      <c r="V42" s="2305" t="s">
        <v>602</v>
      </c>
      <c r="W42" s="2306"/>
      <c r="X42" s="2305" t="s">
        <v>603</v>
      </c>
      <c r="Y42" s="2306"/>
      <c r="Z42" s="2407" t="s">
        <v>604</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618</v>
      </c>
      <c r="AU42" s="2306"/>
      <c r="AV42" s="2305" t="s">
        <v>619</v>
      </c>
      <c r="AW42" s="2306"/>
      <c r="AX42" s="2407" t="s">
        <v>604</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167</v>
      </c>
      <c r="C44" s="1483" t="s">
        <v>168</v>
      </c>
      <c r="D44" s="1483" t="s">
        <v>169</v>
      </c>
      <c r="E44" s="1477" t="s">
        <v>528</v>
      </c>
      <c r="F44" s="1477" t="s">
        <v>529</v>
      </c>
      <c r="G44" s="1477" t="s">
        <v>530</v>
      </c>
      <c r="H44" s="1477" t="s">
        <v>531</v>
      </c>
      <c r="I44" s="1477" t="s">
        <v>532</v>
      </c>
      <c r="J44" s="1477" t="s">
        <v>533</v>
      </c>
      <c r="K44" s="1477" t="s">
        <v>534</v>
      </c>
      <c r="L44" s="1477" t="s">
        <v>509</v>
      </c>
      <c r="Q44" s="404"/>
      <c r="R44" s="489"/>
      <c r="S44" s="2386"/>
      <c r="T44" s="2322"/>
      <c r="U44" s="415"/>
      <c r="V44" s="1592" t="s">
        <v>568</v>
      </c>
      <c r="W44" s="1592" t="s">
        <v>569</v>
      </c>
      <c r="X44" s="1592" t="s">
        <v>568</v>
      </c>
      <c r="Y44" s="1592" t="s">
        <v>569</v>
      </c>
      <c r="Z44" s="1602" t="s">
        <v>537</v>
      </c>
      <c r="AA44" s="2383" t="s">
        <v>538</v>
      </c>
      <c r="AB44" s="2384"/>
      <c r="AC44" s="2392"/>
      <c r="AD44" s="2446"/>
      <c r="AE44" s="2447"/>
      <c r="AF44" s="2447"/>
      <c r="AG44" s="2448"/>
      <c r="AH44" s="2446"/>
      <c r="AI44" s="2447"/>
      <c r="AJ44" s="2447"/>
      <c r="AK44" s="2448"/>
      <c r="AL44" s="2446"/>
      <c r="AM44" s="2447"/>
      <c r="AN44" s="2447"/>
      <c r="AO44" s="2448"/>
      <c r="AP44" s="2446"/>
      <c r="AQ44" s="2447"/>
      <c r="AR44" s="2447"/>
      <c r="AS44" s="2448"/>
      <c r="AT44" s="1592" t="s">
        <v>568</v>
      </c>
      <c r="AU44" s="1592" t="s">
        <v>569</v>
      </c>
      <c r="AV44" s="1592" t="s">
        <v>568</v>
      </c>
      <c r="AW44" s="1592" t="s">
        <v>569</v>
      </c>
      <c r="AX44" s="1602" t="s">
        <v>537</v>
      </c>
      <c r="AY44" s="2383" t="s">
        <v>538</v>
      </c>
      <c r="AZ44" s="2384"/>
      <c r="BA44" s="2392"/>
      <c r="BB44" s="2395"/>
      <c r="BC44" s="2240"/>
      <c r="BI44" s="1268">
        <v>14</v>
      </c>
    </row>
    <row s="6074"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136</v>
      </c>
      <c r="T45" s="1368" t="s">
        <v>103</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369</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155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369</v>
      </c>
      <c r="B47" s="1476" t="s">
        <v>370</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490</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491</v>
      </c>
      <c r="BE47" s="613"/>
      <c r="BF47" s="613" t="str">
        <f>IF(T47="","",T47)</f>
        <v>Территория действия тарифа</v>
      </c>
      <c r="BG47" s="613"/>
      <c r="BH47" s="613"/>
      <c r="BI47" s="1268">
        <v>21</v>
      </c>
    </row>
    <row customHeight="1" ht="35.699999999999996">
      <c r="A48" s="1476" t="s">
        <v>369</v>
      </c>
      <c r="B48" s="1476" t="s">
        <v>370</v>
      </c>
      <c r="C48" s="1476" t="s">
        <v>371</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606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607</v>
      </c>
      <c r="BE48" s="613"/>
      <c r="BF48" s="613" t="str">
        <f>IF(T48="","",T48)</f>
        <v>Наименование централизованной системы водоотведения</v>
      </c>
      <c r="BG48" s="613"/>
      <c r="BH48" s="613"/>
      <c r="BI48" s="1268">
        <v>34</v>
      </c>
    </row>
    <row s="5468" customFormat="1" customHeight="1" ht="0">
      <c r="A49" s="1456" t="s">
        <v>369</v>
      </c>
      <c r="B49" s="1456" t="s">
        <v>370</v>
      </c>
      <c r="C49" s="1456" t="s">
        <v>371</v>
      </c>
      <c r="D49" s="1456" t="s">
        <v>620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495</v>
      </c>
      <c r="BE49" s="613"/>
      <c r="BF49" s="613" t="str">
        <f>IF(T49="","",T49)</f>
        <v/>
      </c>
      <c r="BG49" s="613"/>
      <c r="BH49" s="613"/>
      <c r="BI49" s="624">
        <v>0</v>
      </c>
    </row>
    <row s="5468" customFormat="1" customHeight="1" ht="0">
      <c r="A50" s="1456" t="s">
        <v>369</v>
      </c>
      <c r="B50" s="1456" t="s">
        <v>370</v>
      </c>
      <c r="C50" s="1456" t="s">
        <v>371</v>
      </c>
      <c r="D50" s="1456" t="s">
        <v>620</v>
      </c>
      <c r="E50" s="2372"/>
      <c r="F50" s="2372"/>
      <c r="G50" s="2372"/>
      <c r="H50" s="2372"/>
      <c r="I50" s="2369" t="str">
        <f>S49&amp;".1"</f>
        <v>.1</v>
      </c>
      <c r="J50" s="1456"/>
      <c r="K50" s="1456"/>
      <c r="L50" s="1459" t="s">
        <v>496</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8" customFormat="1" customHeight="1" ht="0">
      <c r="A51" s="1456" t="s">
        <v>369</v>
      </c>
      <c r="B51" s="1456" t="s">
        <v>370</v>
      </c>
      <c r="C51" s="1456" t="s">
        <v>371</v>
      </c>
      <c r="D51" s="1456" t="s">
        <v>620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369</v>
      </c>
      <c r="B52" s="1476" t="s">
        <v>370</v>
      </c>
      <c r="C52" s="1476" t="s">
        <v>371</v>
      </c>
      <c r="D52" s="1476" t="s">
        <v>620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591</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592</v>
      </c>
      <c r="AT53" s="1506"/>
      <c r="AU53" s="1609"/>
      <c r="AV53" s="1506"/>
      <c r="AW53" s="1609"/>
      <c r="AX53" s="1506"/>
      <c r="AY53" s="1506"/>
      <c r="AZ53" s="1506"/>
      <c r="BA53" s="1506"/>
      <c r="BB53" s="1510"/>
      <c r="BC53" s="2367"/>
      <c r="BE53" s="613"/>
      <c r="BF53" s="613"/>
      <c r="BG53" s="613"/>
      <c r="BH53" s="613"/>
      <c r="BI53" s="1268">
        <v>11</v>
      </c>
    </row>
    <row customHeight="1" ht="11.549999999999999">
      <c r="A54" s="1476" t="s">
        <v>369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613</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369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614</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369</v>
      </c>
      <c r="B56" s="1476" t="s">
        <v>370</v>
      </c>
      <c r="C56" s="1476" t="s">
        <v>371</v>
      </c>
      <c r="D56" s="1476" t="s">
        <v>620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595</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369</v>
      </c>
      <c r="B57" s="1476" t="s">
        <v>370</v>
      </c>
      <c r="C57" s="1476" t="s">
        <v>371</v>
      </c>
      <c r="D57" s="1476" t="s">
        <v>620</v>
      </c>
      <c r="E57" s="2372"/>
      <c r="F57" s="2372"/>
      <c r="G57" s="2372"/>
      <c r="H57" s="2372"/>
      <c r="I57" s="2399"/>
      <c r="J57" s="2369"/>
      <c r="K57" s="1476"/>
      <c r="L57" s="1477"/>
      <c r="P57" s="2370"/>
      <c r="Q57" s="2370"/>
      <c r="R57" s="469"/>
      <c r="S57" s="1391"/>
      <c r="T57" s="400" t="s">
        <v>558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8" customFormat="1" customHeight="1" ht="0">
      <c r="A58" s="1456" t="s">
        <v>369</v>
      </c>
      <c r="B58" s="1456" t="s">
        <v>370</v>
      </c>
      <c r="C58" s="1456" t="s">
        <v>371</v>
      </c>
      <c r="D58" s="1456" t="s">
        <v>620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8" customFormat="1" customHeight="1" ht="0">
      <c r="A59" s="1456" t="s">
        <v>369</v>
      </c>
      <c r="B59" s="1456" t="s">
        <v>370</v>
      </c>
      <c r="C59" s="1456" t="s">
        <v>371</v>
      </c>
      <c r="D59" s="1456" t="s">
        <v>620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8" customFormat="1" customHeight="1" ht="0">
      <c r="A60" s="1456" t="s">
        <v>369</v>
      </c>
      <c r="B60" s="1456" t="s">
        <v>370</v>
      </c>
      <c r="C60" s="1456" t="s">
        <v>371</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8" customFormat="1" customHeight="1" ht="0">
      <c r="A61" s="1456" t="s">
        <v>369</v>
      </c>
      <c r="B61" s="1456" t="s">
        <v>370</v>
      </c>
      <c r="C61" s="1427"/>
      <c r="D61" s="1427"/>
      <c r="E61" s="2372"/>
      <c r="F61" s="2371"/>
      <c r="G61" s="1427"/>
      <c r="H61" s="1427"/>
      <c r="I61" s="1427"/>
      <c r="J61" s="1427"/>
      <c r="K61" s="1427"/>
      <c r="L61" s="1607"/>
      <c r="M61" s="1434"/>
      <c r="N61" s="1434"/>
      <c r="P61" s="1429"/>
      <c r="Q61" s="1430"/>
      <c r="R61" s="1429"/>
      <c r="S61" s="1435"/>
      <c r="T61" s="1438" t="s">
        <v>312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8" customFormat="1" customHeight="1" ht="0">
      <c r="A62" s="1456" t="s">
        <v>369</v>
      </c>
      <c r="B62" s="1456"/>
      <c r="C62" s="1456"/>
      <c r="D62" s="1456"/>
      <c r="E62" s="2371"/>
      <c r="F62" s="1456"/>
      <c r="G62" s="1456"/>
      <c r="H62" s="1456"/>
      <c r="I62" s="1456"/>
      <c r="J62" s="1456"/>
      <c r="K62" s="1456"/>
      <c r="L62" s="1459"/>
      <c r="M62" s="1434"/>
      <c r="N62" s="1434"/>
      <c r="O62" s="631"/>
      <c r="P62" s="493"/>
      <c r="Q62" s="1457"/>
      <c r="R62" s="493"/>
      <c r="S62" s="1435"/>
      <c r="T62" s="1438" t="s">
        <v>360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361</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F4BCB-7DFE-BA9C-7A59-02955E2F6BA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67" width="10.57421875" hidden="1"/>
    <col min="2" max="2" style="5467" width="11.00390625" hidden="1" customWidth="1"/>
    <col min="3" max="3" style="5467" width="10.57421875" hidden="1"/>
    <col min="4" max="4" style="5467" width="11.8515625" hidden="1" customWidth="1"/>
    <col min="5" max="5" style="5467" width="10.00390625" hidden="1" customWidth="1"/>
    <col min="6" max="6" style="5467" width="8.7109375" hidden="1" customWidth="1"/>
    <col min="7" max="7" style="5467" width="7.57421875" hidden="1" customWidth="1"/>
    <col min="8" max="8" style="5467" width="11.421875" hidden="1" customWidth="1"/>
    <col min="9" max="9" style="5467" width="14.140625" hidden="1" customWidth="1"/>
    <col min="10" max="10" style="5467" width="9.8515625" hidden="1" customWidth="1"/>
    <col min="11" max="11" style="5467" width="14.7109375" hidden="1" customWidth="1"/>
    <col min="12" max="12" style="6316" width="19.140625" hidden="1" customWidth="1"/>
    <col min="13" max="14" style="6317" width="12.28125" hidden="1" customWidth="1"/>
    <col min="15" max="15" style="6317" width="23.421875" hidden="1" customWidth="1"/>
    <col min="16" max="16" style="6318" width="3.00390625" customWidth="1"/>
    <col min="17" max="18" style="6319" width="3.00390625" customWidth="1"/>
    <col min="19" max="19" style="6320" width="12.00390625" customWidth="1"/>
    <col min="20" max="20" style="5387" width="35.00390625" customWidth="1"/>
    <col min="21" max="21" style="5387" width="0.140625" customWidth="1"/>
    <col min="22" max="28" style="5387" width="19.7109375" hidden="1" customWidth="1"/>
    <col min="29" max="29" style="5387" width="11.7109375" hidden="1" customWidth="1"/>
    <col min="30" max="30" style="5387" width="3.7109375" hidden="1" customWidth="1"/>
    <col min="31" max="31" style="5387" width="11.7109375" hidden="1" customWidth="1"/>
    <col min="32" max="32" style="5387" width="8.57421875" hidden="1" customWidth="1"/>
    <col min="33" max="33" style="5387" width="19.7109375" customWidth="1"/>
    <col min="34" max="39" style="5387" width="19.00390625" customWidth="1"/>
    <col min="40" max="40" style="5387" width="11.00390625" customWidth="1"/>
    <col min="41" max="41" style="5387" width="3.7109375" customWidth="1"/>
    <col min="42" max="42" style="5387" width="11.00390625" customWidth="1"/>
    <col min="43" max="43" style="5387" width="8.57421875" hidden="1" customWidth="1"/>
    <col min="44" max="44" style="5387" width="4.00390625" customWidth="1"/>
    <col min="45" max="45" style="5387" width="115.00390625" customWidth="1"/>
    <col min="46" max="50" style="5468" width="10.00390625" customWidth="1"/>
    <col min="51" max="51" style="5387"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155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490</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491</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621</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622</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573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574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499</v>
      </c>
      <c r="P6" s="2370"/>
      <c r="Q6" s="2370">
        <v>1</v>
      </c>
      <c r="R6" s="470"/>
      <c r="S6" s="1606">
        <f>$J6</f>
      </c>
      <c r="T6" s="399" t="s">
        <v>500</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575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576</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577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505</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578</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312</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360</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67" customFormat="1" customHeight="1" ht="22.5" hidden="1">
      <c r="L18" s="1591"/>
      <c r="M18" s="1475"/>
      <c r="N18" s="1475"/>
      <c r="O18" s="1480" t="s">
        <v>508</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67"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67" customFormat="1" customHeight="1" ht="12" hidden="1">
      <c r="L20" s="1591"/>
      <c r="M20" s="1475"/>
      <c r="N20" s="1475"/>
      <c r="O20" s="1477" t="s">
        <v>509</v>
      </c>
      <c r="P20" s="1475"/>
      <c r="Q20" s="1555"/>
      <c r="R20" s="1555"/>
      <c r="S20" s="842"/>
      <c r="T20" s="1273" t="s">
        <v>510</v>
      </c>
      <c r="W20" s="1479"/>
      <c r="X20" s="1479"/>
      <c r="Y20" s="1479"/>
      <c r="Z20" s="1479"/>
      <c r="AA20" s="1479"/>
      <c r="AB20" s="1479"/>
      <c r="AD20" s="299" t="s">
        <v>511</v>
      </c>
      <c r="AF20" s="299" t="s">
        <v>512</v>
      </c>
      <c r="AG20" s="1273" t="s">
        <v>510</v>
      </c>
      <c r="AH20" s="1479"/>
      <c r="AI20" s="1479"/>
      <c r="AJ20" s="1479"/>
      <c r="AK20" s="1479"/>
      <c r="AL20" s="1479"/>
      <c r="AO20" s="299" t="s">
        <v>513</v>
      </c>
      <c r="AQ20" s="299" t="s">
        <v>512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0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04" customFormat="1" customHeight="1" ht="18.75" hidden="1">
      <c r="A28" s="1481"/>
      <c r="B28" s="1481"/>
      <c r="C28" s="1481"/>
      <c r="D28" s="1481"/>
      <c r="E28" s="1481"/>
      <c r="F28" s="1481"/>
      <c r="G28" s="1481"/>
      <c r="H28" s="1481"/>
      <c r="I28" s="1481"/>
      <c r="J28" s="1481"/>
      <c r="K28" s="1481"/>
      <c r="L28" s="1482"/>
      <c r="M28" s="1481"/>
      <c r="N28" s="1481"/>
      <c r="O28" s="1481"/>
      <c r="S28" s="2363" t="s">
        <v>514</v>
      </c>
      <c r="T28" s="2363"/>
      <c r="U28" s="1485"/>
      <c r="V28" s="2377" t="str">
        <f>IF(TITLE_DATE_PR_CHANGE="",IF(TITLE_DATE_PR="","",TITLE_DATE_PR),TITLE_DATE_PR_CHANGE)</f>
        <v>45408.605891203704</v>
      </c>
      <c r="W28" s="2377"/>
      <c r="X28" s="2377"/>
      <c r="Y28" s="2377"/>
      <c r="Z28" s="2377"/>
      <c r="AA28" s="2377"/>
      <c r="AB28" s="2377"/>
      <c r="AC28" s="2377"/>
      <c r="AD28" s="2377"/>
      <c r="AE28" s="2377"/>
      <c r="AF28" s="439"/>
      <c r="AG28" s="2377" t="str">
        <f>IF(TITLE_DATE_PR_CHANGE="",IF(TITLE_DATE_PR="","",TITLE_DATE_PR),TITLE_DATE_PR_CHANGE)</f>
        <v>45408.605891203704</v>
      </c>
      <c r="AH28" s="2377"/>
      <c r="AI28" s="2377"/>
      <c r="AJ28" s="2377"/>
      <c r="AK28" s="2377"/>
      <c r="AL28" s="2377"/>
      <c r="AM28" s="2377"/>
      <c r="AN28" s="2377"/>
      <c r="AO28" s="2377"/>
      <c r="AP28" s="2377"/>
      <c r="AQ28" s="439"/>
      <c r="AR28" s="439"/>
      <c r="AS28" s="393"/>
      <c r="AT28" s="481"/>
      <c r="AU28" s="481"/>
      <c r="AV28" s="481"/>
      <c r="AW28" s="481"/>
      <c r="AX28" s="481"/>
      <c r="AY28" s="531">
        <v>0</v>
      </c>
    </row>
    <row s="5604" customFormat="1" customHeight="1" ht="18.75" hidden="1">
      <c r="A29" s="1481"/>
      <c r="B29" s="1481"/>
      <c r="C29" s="1481"/>
      <c r="D29" s="1481"/>
      <c r="E29" s="1481"/>
      <c r="F29" s="1481"/>
      <c r="G29" s="1481"/>
      <c r="H29" s="1481"/>
      <c r="I29" s="1481"/>
      <c r="J29" s="1481"/>
      <c r="K29" s="1481"/>
      <c r="L29" s="1482"/>
      <c r="M29" s="1481"/>
      <c r="N29" s="1481"/>
      <c r="O29" s="1481"/>
      <c r="S29" s="2363" t="s">
        <v>515</v>
      </c>
      <c r="T29" s="2363"/>
      <c r="U29" s="1485"/>
      <c r="V29" s="2364" t="str">
        <f>IF(TITLE_NUMBER_PR_CHANGE="",IF(TITLE_NUMBER_PR="","",TITLE_NUMBER_PR),TITLE_NUMBER_PR_CHANGE)</f>
        <v>27-2139</v>
      </c>
      <c r="W29" s="2364"/>
      <c r="X29" s="2364"/>
      <c r="Y29" s="2364"/>
      <c r="Z29" s="2364"/>
      <c r="AA29" s="2364"/>
      <c r="AB29" s="2364"/>
      <c r="AC29" s="2364"/>
      <c r="AD29" s="2364"/>
      <c r="AE29" s="2364"/>
      <c r="AF29" s="439"/>
      <c r="AG29" s="2364" t="str">
        <f>IF(TITLE_NUMBER_PR_CHANGE="",IF(TITLE_NUMBER_PR="","",TITLE_NUMBER_PR),TITLE_NUMBER_PR_CHANGE)</f>
        <v>27-2139</v>
      </c>
      <c r="AH29" s="2364"/>
      <c r="AI29" s="2364"/>
      <c r="AJ29" s="2364"/>
      <c r="AK29" s="2364"/>
      <c r="AL29" s="2364"/>
      <c r="AM29" s="2364"/>
      <c r="AN29" s="2364"/>
      <c r="AO29" s="2364"/>
      <c r="AP29" s="2364"/>
      <c r="AQ29" s="439"/>
      <c r="AR29" s="439"/>
      <c r="AS29" s="393"/>
      <c r="AT29" s="481"/>
      <c r="AU29" s="481"/>
      <c r="AV29" s="481"/>
      <c r="AW29" s="481"/>
      <c r="AX29" s="481"/>
      <c r="AY29" s="531">
        <v>0</v>
      </c>
    </row>
    <row s="560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04" customFormat="1" customHeight="1" ht="18.75">
      <c r="A32" s="1481"/>
      <c r="B32" s="1481"/>
      <c r="C32" s="1481"/>
      <c r="D32" s="1481"/>
      <c r="E32" s="1481"/>
      <c r="F32" s="1481"/>
      <c r="G32" s="1481"/>
      <c r="H32" s="1481"/>
      <c r="I32" s="1481"/>
      <c r="J32" s="1481"/>
      <c r="K32" s="1481"/>
      <c r="L32" s="1482"/>
      <c r="M32" s="1481"/>
      <c r="N32" s="1481"/>
      <c r="O32" s="1481"/>
      <c r="S32" s="2363" t="s">
        <v>516</v>
      </c>
      <c r="T32" s="2363"/>
      <c r="U32" s="1485"/>
      <c r="V32" s="2377" t="str">
        <f>IF(TITLE_DATE_PR_CHANGE="",IF(TITLE_DATE_PR="","",TITLE_DATE_PR),TITLE_DATE_PR_CHANGE)</f>
        <v>45408.605891203704</v>
      </c>
      <c r="W32" s="2377"/>
      <c r="X32" s="2377"/>
      <c r="Y32" s="2377"/>
      <c r="Z32" s="2377"/>
      <c r="AA32" s="2377"/>
      <c r="AB32" s="2377"/>
      <c r="AC32" s="2377"/>
      <c r="AD32" s="2377"/>
      <c r="AE32" s="2377"/>
      <c r="AF32" s="439"/>
      <c r="AG32" s="2377" t="str">
        <f>IF(TITLE_DATE_PR_CHANGE="",IF(TITLE_DATE_PR="","",TITLE_DATE_PR),TITLE_DATE_PR_CHANGE)</f>
        <v>45408.605891203704</v>
      </c>
      <c r="AH32" s="2377"/>
      <c r="AI32" s="2377"/>
      <c r="AJ32" s="2377"/>
      <c r="AK32" s="2377"/>
      <c r="AL32" s="2377"/>
      <c r="AM32" s="2377"/>
      <c r="AN32" s="2377"/>
      <c r="AO32" s="2377"/>
      <c r="AP32" s="2377"/>
      <c r="AQ32" s="439"/>
      <c r="AR32" s="439"/>
      <c r="AS32" s="393"/>
      <c r="AT32" s="481"/>
      <c r="AU32" s="481"/>
      <c r="AV32" s="481"/>
      <c r="AW32" s="481"/>
      <c r="AX32" s="481"/>
      <c r="AY32" s="531">
        <v>0</v>
      </c>
    </row>
    <row s="5604" customFormat="1" customHeight="1" ht="18.75">
      <c r="A33" s="1481"/>
      <c r="B33" s="1481"/>
      <c r="C33" s="1481"/>
      <c r="D33" s="1481"/>
      <c r="E33" s="1481"/>
      <c r="F33" s="1481"/>
      <c r="G33" s="1481"/>
      <c r="H33" s="1481"/>
      <c r="I33" s="1481"/>
      <c r="J33" s="1481"/>
      <c r="K33" s="1481"/>
      <c r="L33" s="1482"/>
      <c r="M33" s="1481"/>
      <c r="N33" s="1481"/>
      <c r="O33" s="1481"/>
      <c r="S33" s="2363" t="s">
        <v>517</v>
      </c>
      <c r="T33" s="2363"/>
      <c r="U33" s="1485"/>
      <c r="V33" s="2364" t="str">
        <f>IF(TITLE_NUMBER_PR_CHANGE="",IF(TITLE_NUMBER_PR="","",TITLE_NUMBER_PR),TITLE_NUMBER_PR_CHANGE)</f>
        <v>27-2139</v>
      </c>
      <c r="W33" s="2364"/>
      <c r="X33" s="2364"/>
      <c r="Y33" s="2364"/>
      <c r="Z33" s="2364"/>
      <c r="AA33" s="2364"/>
      <c r="AB33" s="2364"/>
      <c r="AC33" s="2364"/>
      <c r="AD33" s="2364"/>
      <c r="AE33" s="2364"/>
      <c r="AF33" s="439"/>
      <c r="AG33" s="2364" t="str">
        <f>IF(TITLE_NUMBER_PR_CHANGE="",IF(TITLE_NUMBER_PR="","",TITLE_NUMBER_PR),TITLE_NUMBER_PR_CHANGE)</f>
        <v>27-2139</v>
      </c>
      <c r="AH33" s="2364"/>
      <c r="AI33" s="2364"/>
      <c r="AJ33" s="2364"/>
      <c r="AK33" s="2364"/>
      <c r="AL33" s="2364"/>
      <c r="AM33" s="2364"/>
      <c r="AN33" s="2364"/>
      <c r="AO33" s="2364"/>
      <c r="AP33" s="2364"/>
      <c r="AQ33" s="439"/>
      <c r="AR33" s="439"/>
      <c r="AS33" s="393"/>
      <c r="AT33" s="481"/>
      <c r="AU33" s="481"/>
      <c r="AV33" s="481"/>
      <c r="AW33" s="481"/>
      <c r="AX33" s="481"/>
      <c r="AY33" s="531">
        <v>0</v>
      </c>
    </row>
    <row s="560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518</v>
      </c>
      <c r="AG34" s="439"/>
      <c r="AH34" s="1748"/>
      <c r="AI34" s="1748"/>
      <c r="AJ34" s="1748"/>
      <c r="AK34" s="1748"/>
      <c r="AL34" s="1748"/>
      <c r="AM34" s="439"/>
      <c r="AN34" s="439"/>
      <c r="AO34" s="439"/>
      <c r="AP34" s="439"/>
      <c r="AQ34" s="391" t="s">
        <v>518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393</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394</v>
      </c>
      <c r="AY36" s="1268">
        <v>14</v>
      </c>
    </row>
    <row customHeight="1" ht="14.699999999999998">
      <c r="Q37" s="489"/>
      <c r="R37" s="489"/>
      <c r="S37" s="2386" t="s">
        <v>88</v>
      </c>
      <c r="T37" s="2322" t="s">
        <v>519</v>
      </c>
      <c r="U37" s="414"/>
      <c r="V37" s="2387" t="s">
        <v>520</v>
      </c>
      <c r="W37" s="2404"/>
      <c r="X37" s="2404"/>
      <c r="Y37" s="2404"/>
      <c r="Z37" s="2404"/>
      <c r="AA37" s="2404"/>
      <c r="AB37" s="2404"/>
      <c r="AC37" s="2388"/>
      <c r="AD37" s="2388"/>
      <c r="AE37" s="2389"/>
      <c r="AF37" s="2390" t="s">
        <v>521</v>
      </c>
      <c r="AG37" s="2387" t="s">
        <v>520</v>
      </c>
      <c r="AH37" s="2388"/>
      <c r="AI37" s="2388"/>
      <c r="AJ37" s="2388"/>
      <c r="AK37" s="2388"/>
      <c r="AL37" s="2388"/>
      <c r="AM37" s="2388"/>
      <c r="AN37" s="2388"/>
      <c r="AO37" s="2388"/>
      <c r="AP37" s="2389"/>
      <c r="AQ37" s="2390" t="s">
        <v>522</v>
      </c>
      <c r="AR37" s="2393" t="s">
        <v>523</v>
      </c>
      <c r="AS37" s="2240"/>
      <c r="AY37" s="1268">
        <v>14</v>
      </c>
    </row>
    <row customHeight="1" ht="19.95">
      <c r="Q38" s="489"/>
      <c r="R38" s="489"/>
      <c r="S38" s="2386"/>
      <c r="T38" s="2322"/>
      <c r="U38" s="1144"/>
      <c r="V38" s="2479" t="s">
        <v>623</v>
      </c>
      <c r="W38" s="2478" t="s">
        <v>624</v>
      </c>
      <c r="X38" s="2478"/>
      <c r="Y38" s="2478"/>
      <c r="Z38" s="2478" t="s">
        <v>625</v>
      </c>
      <c r="AA38" s="2478"/>
      <c r="AB38" s="2478"/>
      <c r="AC38" s="2407" t="s">
        <v>527</v>
      </c>
      <c r="AD38" s="2426"/>
      <c r="AE38" s="2427"/>
      <c r="AF38" s="2391"/>
      <c r="AG38" s="2479" t="s">
        <v>623</v>
      </c>
      <c r="AH38" s="2478" t="s">
        <v>624</v>
      </c>
      <c r="AI38" s="2478"/>
      <c r="AJ38" s="2478"/>
      <c r="AK38" s="2478" t="s">
        <v>625</v>
      </c>
      <c r="AL38" s="2478"/>
      <c r="AM38" s="2478"/>
      <c r="AN38" s="2407" t="s">
        <v>527</v>
      </c>
      <c r="AO38" s="2426"/>
      <c r="AP38" s="2427"/>
      <c r="AQ38" s="2391"/>
      <c r="AR38" s="2394"/>
      <c r="AS38" s="2240"/>
      <c r="AY38" s="1268">
        <v>19</v>
      </c>
    </row>
    <row s="5387"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626</v>
      </c>
      <c r="X39" s="2478" t="s">
        <v>627</v>
      </c>
      <c r="Y39" s="2478"/>
      <c r="Z39" s="2478" t="s">
        <v>628</v>
      </c>
      <c r="AA39" s="2478" t="s">
        <v>627</v>
      </c>
      <c r="AB39" s="2478"/>
      <c r="AC39" s="2408"/>
      <c r="AD39" s="2428"/>
      <c r="AE39" s="2429"/>
      <c r="AF39" s="2391"/>
      <c r="AG39" s="2479"/>
      <c r="AH39" s="2478" t="s">
        <v>626</v>
      </c>
      <c r="AI39" s="2478" t="s">
        <v>627</v>
      </c>
      <c r="AJ39" s="2478"/>
      <c r="AK39" s="2478" t="s">
        <v>628</v>
      </c>
      <c r="AL39" s="2478" t="s">
        <v>627</v>
      </c>
      <c r="AM39" s="2478"/>
      <c r="AN39" s="2408"/>
      <c r="AO39" s="2428"/>
      <c r="AP39" s="2429"/>
      <c r="AQ39" s="2391"/>
      <c r="AR39" s="2394"/>
      <c r="AS39" s="2240"/>
      <c r="AT39" s="1749"/>
      <c r="AU39" s="1749"/>
      <c r="AV39" s="1749"/>
      <c r="AW39" s="1749"/>
      <c r="AX39" s="1749"/>
      <c r="AY39" s="1744">
        <v>19</v>
      </c>
    </row>
    <row customHeight="1" ht="61.949999999999996">
      <c r="A40" s="1483"/>
      <c r="B40" s="1483" t="s">
        <v>167</v>
      </c>
      <c r="C40" s="1483" t="s">
        <v>168</v>
      </c>
      <c r="D40" s="1483" t="s">
        <v>169</v>
      </c>
      <c r="E40" s="1477" t="s">
        <v>528</v>
      </c>
      <c r="F40" s="1477" t="s">
        <v>529</v>
      </c>
      <c r="G40" s="1477" t="s">
        <v>530</v>
      </c>
      <c r="H40" s="1477"/>
      <c r="I40" s="1477" t="s">
        <v>580</v>
      </c>
      <c r="J40" s="1477" t="s">
        <v>533</v>
      </c>
      <c r="K40" s="1477" t="s">
        <v>581</v>
      </c>
      <c r="L40" s="1477" t="s">
        <v>509</v>
      </c>
      <c r="Q40" s="489"/>
      <c r="R40" s="489"/>
      <c r="S40" s="2386"/>
      <c r="T40" s="2322"/>
      <c r="U40" s="415"/>
      <c r="V40" s="2479"/>
      <c r="W40" s="2478"/>
      <c r="X40" s="2096" t="s">
        <v>629</v>
      </c>
      <c r="Y40" s="2096" t="s">
        <v>630</v>
      </c>
      <c r="Z40" s="2478"/>
      <c r="AA40" s="2096" t="s">
        <v>631</v>
      </c>
      <c r="AB40" s="2096" t="s">
        <v>632</v>
      </c>
      <c r="AC40" s="1602" t="s">
        <v>537</v>
      </c>
      <c r="AD40" s="2383" t="s">
        <v>538</v>
      </c>
      <c r="AE40" s="2384"/>
      <c r="AF40" s="2392"/>
      <c r="AG40" s="2479"/>
      <c r="AH40" s="2478"/>
      <c r="AI40" s="2096" t="s">
        <v>629</v>
      </c>
      <c r="AJ40" s="2096" t="s">
        <v>630</v>
      </c>
      <c r="AK40" s="2478"/>
      <c r="AL40" s="2096" t="s">
        <v>631</v>
      </c>
      <c r="AM40" s="2096" t="s">
        <v>632</v>
      </c>
      <c r="AN40" s="1602" t="s">
        <v>537</v>
      </c>
      <c r="AO40" s="2383" t="s">
        <v>538</v>
      </c>
      <c r="AP40" s="2384"/>
      <c r="AQ40" s="2392"/>
      <c r="AR40" s="2395"/>
      <c r="AS40" s="2240"/>
      <c r="AY40" s="1268">
        <v>59</v>
      </c>
    </row>
    <row s="6074"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136</v>
      </c>
      <c r="T41" s="1368" t="s">
        <v>103</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280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155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280</v>
      </c>
      <c r="B43" s="1476" t="s">
        <v>281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490</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491</v>
      </c>
      <c r="AU43" s="613"/>
      <c r="AV43" s="613" t="str">
        <f>IF(T43="","",T43)</f>
        <v>Территория действия тарифа</v>
      </c>
      <c r="AW43" s="613"/>
      <c r="AX43" s="613"/>
      <c r="AY43" s="1268">
        <v>23</v>
      </c>
    </row>
    <row customHeight="1" ht="24">
      <c r="A44" s="1476" t="s">
        <v>280</v>
      </c>
      <c r="B44" s="1476" t="s">
        <v>281</v>
      </c>
      <c r="C44" s="1476" t="s">
        <v>282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621</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622</v>
      </c>
      <c r="AU44" s="613"/>
      <c r="AV44" s="613" t="str">
        <f>IF(T44="","",T44)</f>
        <v>Наименование централизованной системы горячего водоснабжения</v>
      </c>
      <c r="AW44" s="613"/>
      <c r="AX44" s="613"/>
      <c r="AY44" s="1268">
        <v>23</v>
      </c>
    </row>
    <row customHeight="1" ht="24">
      <c r="A45" s="1476" t="s">
        <v>280</v>
      </c>
      <c r="B45" s="1476" t="s">
        <v>281</v>
      </c>
      <c r="C45" s="1476" t="s">
        <v>282</v>
      </c>
      <c r="D45" s="1476" t="s">
        <v>633</v>
      </c>
      <c r="E45" s="2372"/>
      <c r="F45" s="2372"/>
      <c r="G45" s="2372"/>
      <c r="H45" s="2372"/>
      <c r="I45" s="2369" t="str">
        <f>S44&amp;".1"</f>
        <v>...1</v>
      </c>
      <c r="J45" s="1476"/>
      <c r="K45" s="1476"/>
      <c r="L45" s="1477"/>
      <c r="P45" s="2370">
        <v>1</v>
      </c>
      <c r="Q45" s="1594"/>
      <c r="R45" s="469"/>
      <c r="S45" s="1606" t="str">
        <f>$I45</f>
        <v>...1</v>
      </c>
      <c r="T45" s="398" t="s">
        <v>573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574</v>
      </c>
      <c r="AU45" s="613"/>
      <c r="AV45" s="613" t="str">
        <f>IF(T45="","",T45)</f>
        <v>Наименование признака дифференциации</v>
      </c>
      <c r="AW45" s="613"/>
      <c r="AX45" s="613"/>
      <c r="AY45" s="1268">
        <v>23</v>
      </c>
    </row>
    <row customHeight="1" ht="24">
      <c r="A46" s="1476" t="s">
        <v>280</v>
      </c>
      <c r="B46" s="1476" t="s">
        <v>281</v>
      </c>
      <c r="C46" s="1476" t="s">
        <v>282</v>
      </c>
      <c r="D46" s="1476" t="s">
        <v>633</v>
      </c>
      <c r="E46" s="2372"/>
      <c r="F46" s="2372"/>
      <c r="G46" s="2372"/>
      <c r="H46" s="2372"/>
      <c r="I46" s="2399"/>
      <c r="J46" s="2369" t="str">
        <f>I45&amp;".1"</f>
        <v>...1.1</v>
      </c>
      <c r="K46" s="1476"/>
      <c r="L46" s="1477" t="s">
        <v>499</v>
      </c>
      <c r="P46" s="2370"/>
      <c r="Q46" s="2370">
        <v>1</v>
      </c>
      <c r="R46" s="470"/>
      <c r="S46" s="1606" t="str">
        <f>$J46</f>
        <v>...1.1</v>
      </c>
      <c r="T46" s="399" t="s">
        <v>500</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575</v>
      </c>
      <c r="AU46" s="613"/>
      <c r="AV46" s="613" t="str">
        <f>IF(T46="","",T46)</f>
        <v>Группа потребителей</v>
      </c>
      <c r="AW46" s="613"/>
      <c r="AX46" s="613"/>
      <c r="AY46" s="1268">
        <v>23</v>
      </c>
    </row>
    <row customHeight="1" ht="24">
      <c r="A47" s="1476" t="s">
        <v>280</v>
      </c>
      <c r="B47" s="1476" t="s">
        <v>281</v>
      </c>
      <c r="C47" s="1476" t="s">
        <v>282</v>
      </c>
      <c r="D47" s="1476" t="s">
        <v>633</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280</v>
      </c>
      <c r="B48" s="1476" t="s">
        <v>281</v>
      </c>
      <c r="C48" s="1476" t="s">
        <v>282</v>
      </c>
      <c r="D48" s="1476" t="s">
        <v>633</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280</v>
      </c>
      <c r="B49" s="1476" t="s">
        <v>281</v>
      </c>
      <c r="C49" s="1476" t="s">
        <v>282</v>
      </c>
      <c r="D49" s="1476" t="s">
        <v>633</v>
      </c>
      <c r="E49" s="2372"/>
      <c r="F49" s="2372"/>
      <c r="G49" s="2372"/>
      <c r="H49" s="2372"/>
      <c r="I49" s="2399"/>
      <c r="J49" s="2369"/>
      <c r="K49" s="1476"/>
      <c r="L49" s="1477"/>
      <c r="P49" s="2370"/>
      <c r="Q49" s="2370"/>
      <c r="R49" s="469"/>
      <c r="S49" s="1391"/>
      <c r="T49" s="400" t="s">
        <v>576</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577</v>
      </c>
      <c r="AU49" s="613"/>
      <c r="AV49" s="613" t="str">
        <f>IF(T49="","",T49)</f>
        <v>Добавить значение признака дифференциации</v>
      </c>
      <c r="AW49" s="613"/>
      <c r="AX49" s="613"/>
      <c r="AY49" s="1268">
        <v>20</v>
      </c>
    </row>
    <row customHeight="1" ht="22.049999999999997">
      <c r="A50" s="1476" t="s">
        <v>280</v>
      </c>
      <c r="B50" s="1476" t="s">
        <v>281</v>
      </c>
      <c r="C50" s="1476" t="s">
        <v>282</v>
      </c>
      <c r="D50" s="1476" t="s">
        <v>633</v>
      </c>
      <c r="E50" s="2372"/>
      <c r="F50" s="2372"/>
      <c r="G50" s="2372"/>
      <c r="H50" s="2372"/>
      <c r="I50" s="2369"/>
      <c r="J50" s="1476"/>
      <c r="K50" s="1476"/>
      <c r="L50" s="1477"/>
      <c r="P50" s="2370"/>
      <c r="Q50" s="1594"/>
      <c r="R50" s="469"/>
      <c r="S50" s="1391"/>
      <c r="T50" s="478" t="s">
        <v>505</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280</v>
      </c>
      <c r="B51" s="1476" t="s">
        <v>281</v>
      </c>
      <c r="C51" s="1476" t="s">
        <v>282</v>
      </c>
      <c r="D51" s="1476" t="s">
        <v>633</v>
      </c>
      <c r="E51" s="2372"/>
      <c r="F51" s="2372"/>
      <c r="G51" s="2372"/>
      <c r="H51" s="2371"/>
      <c r="I51" s="1476"/>
      <c r="J51" s="1476"/>
      <c r="K51" s="1476"/>
      <c r="L51" s="1477"/>
      <c r="M51" s="1478"/>
      <c r="N51" s="1478"/>
      <c r="O51" s="650"/>
      <c r="P51" s="473"/>
      <c r="Q51" s="488"/>
      <c r="R51" s="468"/>
      <c r="S51" s="1391"/>
      <c r="T51" s="485" t="s">
        <v>578</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8" customFormat="1" customHeight="1" ht="0">
      <c r="A52" s="1456" t="s">
        <v>280</v>
      </c>
      <c r="B52" s="1456" t="s">
        <v>281</v>
      </c>
      <c r="C52" s="1427"/>
      <c r="D52" s="1427"/>
      <c r="E52" s="2372"/>
      <c r="F52" s="2371"/>
      <c r="G52" s="1427"/>
      <c r="H52" s="1427"/>
      <c r="I52" s="1427"/>
      <c r="J52" s="1427"/>
      <c r="K52" s="1427"/>
      <c r="L52" s="1607"/>
      <c r="M52" s="1434"/>
      <c r="N52" s="1434"/>
      <c r="P52" s="1429"/>
      <c r="Q52" s="1430"/>
      <c r="R52" s="1429"/>
      <c r="S52" s="1435"/>
      <c r="T52" s="1438" t="s">
        <v>312</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8" customFormat="1" customHeight="1" ht="0">
      <c r="A53" s="1456" t="s">
        <v>280</v>
      </c>
      <c r="B53" s="1456"/>
      <c r="C53" s="1456"/>
      <c r="D53" s="1456"/>
      <c r="E53" s="2371"/>
      <c r="F53" s="1456"/>
      <c r="G53" s="1456"/>
      <c r="H53" s="1456"/>
      <c r="I53" s="1456"/>
      <c r="J53" s="1456"/>
      <c r="K53" s="1456"/>
      <c r="L53" s="1459"/>
      <c r="M53" s="1434"/>
      <c r="N53" s="1434"/>
      <c r="O53" s="631"/>
      <c r="P53" s="493"/>
      <c r="Q53" s="1457"/>
      <c r="R53" s="493"/>
      <c r="S53" s="1435"/>
      <c r="T53" s="1438" t="s">
        <v>360</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361</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B2E4F-EF7D-A9CA-49F4-3EB74EB71B1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67" width="10.57421875" hidden="1"/>
    <col min="2" max="2" style="5467" width="11.00390625" hidden="1" customWidth="1"/>
    <col min="3" max="3" style="5467" width="10.57421875" hidden="1"/>
    <col min="4" max="4" style="5467" width="11.8515625" hidden="1" customWidth="1"/>
    <col min="5" max="5" style="5467" width="10.00390625" hidden="1" customWidth="1"/>
    <col min="6" max="6" style="5467" width="8.7109375" hidden="1" customWidth="1"/>
    <col min="7" max="7" style="5467" width="7.57421875" hidden="1" customWidth="1"/>
    <col min="8" max="8" style="5467" width="11.421875" hidden="1" customWidth="1"/>
    <col min="9" max="9" style="5467" width="14.140625" hidden="1" customWidth="1"/>
    <col min="10" max="10" style="5467" width="9.8515625" hidden="1" customWidth="1"/>
    <col min="11" max="11" style="5467" width="14.7109375" hidden="1" customWidth="1"/>
    <col min="12" max="12" style="6316" width="19.140625" hidden="1" customWidth="1"/>
    <col min="13" max="14" style="6317" width="12.28125" hidden="1" customWidth="1"/>
    <col min="15" max="15" style="6317" width="23.421875" hidden="1" customWidth="1"/>
    <col min="16" max="16" style="6318" width="3.00390625" customWidth="1"/>
    <col min="17" max="18" style="6319" width="3.00390625" customWidth="1"/>
    <col min="19" max="19" style="6320" width="12.00390625" customWidth="1"/>
    <col min="20" max="20" style="5387" width="35.00390625" customWidth="1"/>
    <col min="21" max="21" style="5387" width="0.140625" customWidth="1"/>
    <col min="22" max="28" style="5387" width="19.7109375" hidden="1" customWidth="1"/>
    <col min="29" max="29" style="5387" width="11.7109375" hidden="1" customWidth="1"/>
    <col min="30" max="30" style="5387" width="3.7109375" hidden="1" customWidth="1"/>
    <col min="31" max="31" style="5387" width="11.7109375" hidden="1" customWidth="1"/>
    <col min="32" max="32" style="5387" width="8.57421875" hidden="1" customWidth="1"/>
    <col min="33" max="33" style="5387" width="19.7109375" customWidth="1"/>
    <col min="34" max="39" style="5387" width="19.00390625" customWidth="1"/>
    <col min="40" max="40" style="5387" width="11.00390625" customWidth="1"/>
    <col min="41" max="41" style="5387" width="3.7109375" customWidth="1"/>
    <col min="42" max="42" style="5387" width="11.00390625" customWidth="1"/>
    <col min="43" max="43" style="5387" width="8.57421875" hidden="1" customWidth="1"/>
    <col min="44" max="44" style="5387" width="4.00390625" customWidth="1"/>
    <col min="45" max="45" style="5387" width="115.00390625" customWidth="1"/>
    <col min="46" max="50" style="5468" width="10.00390625" customWidth="1"/>
    <col min="51" max="51" style="5387"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155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490</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491</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621</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622</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573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574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499</v>
      </c>
      <c r="P6" s="2370"/>
      <c r="Q6" s="2370">
        <v>1</v>
      </c>
      <c r="R6" s="470"/>
      <c r="S6" s="1606">
        <f>$J6</f>
      </c>
      <c r="T6" s="399" t="s">
        <v>500</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575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576</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577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505</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578</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312</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360</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67" customFormat="1" customHeight="1" ht="22.5" hidden="1">
      <c r="L18" s="1591"/>
      <c r="M18" s="1475"/>
      <c r="N18" s="1475"/>
      <c r="O18" s="1480" t="s">
        <v>508</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67"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67" customFormat="1" customHeight="1" ht="12" hidden="1">
      <c r="L20" s="1591"/>
      <c r="M20" s="1475"/>
      <c r="N20" s="1475"/>
      <c r="O20" s="1477" t="s">
        <v>509</v>
      </c>
      <c r="P20" s="1475"/>
      <c r="Q20" s="1555"/>
      <c r="R20" s="1555"/>
      <c r="S20" s="842"/>
      <c r="T20" s="1273" t="s">
        <v>510</v>
      </c>
      <c r="W20" s="1479"/>
      <c r="X20" s="1479"/>
      <c r="Y20" s="1479"/>
      <c r="Z20" s="1479"/>
      <c r="AA20" s="1479"/>
      <c r="AD20" s="299" t="s">
        <v>511</v>
      </c>
      <c r="AF20" s="299" t="s">
        <v>512</v>
      </c>
      <c r="AG20" s="1273" t="s">
        <v>510</v>
      </c>
      <c r="AH20" s="1479"/>
      <c r="AI20" s="1479"/>
      <c r="AJ20" s="1479"/>
      <c r="AK20" s="1479"/>
      <c r="AL20" s="1479"/>
      <c r="AO20" s="299" t="s">
        <v>513</v>
      </c>
      <c r="AQ20" s="299" t="s">
        <v>512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0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04" customFormat="1" customHeight="1" ht="18.75" hidden="1">
      <c r="A28" s="1481"/>
      <c r="B28" s="1481"/>
      <c r="C28" s="1481"/>
      <c r="D28" s="1481"/>
      <c r="E28" s="1481"/>
      <c r="F28" s="1481"/>
      <c r="G28" s="1481"/>
      <c r="H28" s="1481"/>
      <c r="I28" s="1481"/>
      <c r="J28" s="1481"/>
      <c r="K28" s="1481"/>
      <c r="L28" s="1482"/>
      <c r="M28" s="1481"/>
      <c r="N28" s="1481"/>
      <c r="O28" s="1481"/>
      <c r="S28" s="2363" t="s">
        <v>514</v>
      </c>
      <c r="T28" s="2363"/>
      <c r="U28" s="1485"/>
      <c r="V28" s="2377" t="str">
        <f>IF(TITLE_DATE_PR_CHANGE="",IF(TITLE_DATE_PR="","",TITLE_DATE_PR),TITLE_DATE_PR_CHANGE)</f>
        <v>45408.605891203704</v>
      </c>
      <c r="W28" s="2377"/>
      <c r="X28" s="2377"/>
      <c r="Y28" s="2377"/>
      <c r="Z28" s="2377"/>
      <c r="AA28" s="2377"/>
      <c r="AB28" s="2377"/>
      <c r="AC28" s="2377"/>
      <c r="AD28" s="2377"/>
      <c r="AE28" s="2377"/>
      <c r="AF28" s="439"/>
      <c r="AG28" s="2377" t="str">
        <f>IF(TITLE_DATE_PR_CHANGE="",IF(TITLE_DATE_PR="","",TITLE_DATE_PR),TITLE_DATE_PR_CHANGE)</f>
        <v>45408.605891203704</v>
      </c>
      <c r="AH28" s="2377"/>
      <c r="AI28" s="2377"/>
      <c r="AJ28" s="2377"/>
      <c r="AK28" s="2377"/>
      <c r="AL28" s="2377"/>
      <c r="AM28" s="2377"/>
      <c r="AN28" s="2377"/>
      <c r="AO28" s="2377"/>
      <c r="AP28" s="2377"/>
      <c r="AQ28" s="439"/>
      <c r="AR28" s="439"/>
      <c r="AS28" s="393"/>
      <c r="AT28" s="481"/>
      <c r="AU28" s="481"/>
      <c r="AV28" s="481"/>
      <c r="AW28" s="481"/>
      <c r="AX28" s="481"/>
      <c r="AY28" s="531">
        <v>0</v>
      </c>
    </row>
    <row s="5604" customFormat="1" customHeight="1" ht="18.75" hidden="1">
      <c r="A29" s="1481"/>
      <c r="B29" s="1481"/>
      <c r="C29" s="1481"/>
      <c r="D29" s="1481"/>
      <c r="E29" s="1481"/>
      <c r="F29" s="1481"/>
      <c r="G29" s="1481"/>
      <c r="H29" s="1481"/>
      <c r="I29" s="1481"/>
      <c r="J29" s="1481"/>
      <c r="K29" s="1481"/>
      <c r="L29" s="1482"/>
      <c r="M29" s="1481"/>
      <c r="N29" s="1481"/>
      <c r="O29" s="1481"/>
      <c r="S29" s="2363" t="s">
        <v>515</v>
      </c>
      <c r="T29" s="2363"/>
      <c r="U29" s="1485"/>
      <c r="V29" s="2364" t="str">
        <f>IF(TITLE_NUMBER_PR_CHANGE="",IF(TITLE_NUMBER_PR="","",TITLE_NUMBER_PR),TITLE_NUMBER_PR_CHANGE)</f>
        <v>27-2139</v>
      </c>
      <c r="W29" s="2364"/>
      <c r="X29" s="2364"/>
      <c r="Y29" s="2364"/>
      <c r="Z29" s="2364"/>
      <c r="AA29" s="2364"/>
      <c r="AB29" s="2364"/>
      <c r="AC29" s="2364"/>
      <c r="AD29" s="2364"/>
      <c r="AE29" s="2364"/>
      <c r="AF29" s="439"/>
      <c r="AG29" s="2364" t="str">
        <f>IF(TITLE_NUMBER_PR_CHANGE="",IF(TITLE_NUMBER_PR="","",TITLE_NUMBER_PR),TITLE_NUMBER_PR_CHANGE)</f>
        <v>27-2139</v>
      </c>
      <c r="AH29" s="2364"/>
      <c r="AI29" s="2364"/>
      <c r="AJ29" s="2364"/>
      <c r="AK29" s="2364"/>
      <c r="AL29" s="2364"/>
      <c r="AM29" s="2364"/>
      <c r="AN29" s="2364"/>
      <c r="AO29" s="2364"/>
      <c r="AP29" s="2364"/>
      <c r="AQ29" s="439"/>
      <c r="AR29" s="439"/>
      <c r="AS29" s="393"/>
      <c r="AT29" s="481"/>
      <c r="AU29" s="481"/>
      <c r="AV29" s="481"/>
      <c r="AW29" s="481"/>
      <c r="AX29" s="481"/>
      <c r="AY29" s="531">
        <v>0</v>
      </c>
    </row>
    <row s="560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04" customFormat="1" customHeight="1" ht="18.75">
      <c r="A32" s="1481"/>
      <c r="B32" s="1481"/>
      <c r="C32" s="1481"/>
      <c r="D32" s="1481"/>
      <c r="E32" s="1481"/>
      <c r="F32" s="1481"/>
      <c r="G32" s="1481"/>
      <c r="H32" s="1481"/>
      <c r="I32" s="1481"/>
      <c r="J32" s="1481"/>
      <c r="K32" s="1481"/>
      <c r="L32" s="1482"/>
      <c r="M32" s="1481"/>
      <c r="N32" s="1481"/>
      <c r="O32" s="1481"/>
      <c r="S32" s="2363" t="s">
        <v>516</v>
      </c>
      <c r="T32" s="2363"/>
      <c r="U32" s="1485"/>
      <c r="V32" s="2377" t="str">
        <f>IF(TITLE_DATE_PR_CHANGE="",IF(TITLE_DATE_PR="","",TITLE_DATE_PR),TITLE_DATE_PR_CHANGE)</f>
        <v>45408.605891203704</v>
      </c>
      <c r="W32" s="2377"/>
      <c r="X32" s="2377"/>
      <c r="Y32" s="2377"/>
      <c r="Z32" s="2377"/>
      <c r="AA32" s="2377"/>
      <c r="AB32" s="2377"/>
      <c r="AC32" s="2377"/>
      <c r="AD32" s="2377"/>
      <c r="AE32" s="2377"/>
      <c r="AF32" s="439"/>
      <c r="AG32" s="2377" t="str">
        <f>IF(TITLE_DATE_PR_CHANGE="",IF(TITLE_DATE_PR="","",TITLE_DATE_PR),TITLE_DATE_PR_CHANGE)</f>
        <v>45408.605891203704</v>
      </c>
      <c r="AH32" s="2377"/>
      <c r="AI32" s="2377"/>
      <c r="AJ32" s="2377"/>
      <c r="AK32" s="2377"/>
      <c r="AL32" s="2377"/>
      <c r="AM32" s="2377"/>
      <c r="AN32" s="2377"/>
      <c r="AO32" s="2377"/>
      <c r="AP32" s="2377"/>
      <c r="AQ32" s="439"/>
      <c r="AR32" s="439"/>
      <c r="AS32" s="393"/>
      <c r="AT32" s="481"/>
      <c r="AU32" s="481"/>
      <c r="AV32" s="481"/>
      <c r="AW32" s="481"/>
      <c r="AX32" s="481"/>
      <c r="AY32" s="531">
        <v>0</v>
      </c>
    </row>
    <row s="5604" customFormat="1" customHeight="1" ht="18.75">
      <c r="A33" s="1481"/>
      <c r="B33" s="1481"/>
      <c r="C33" s="1481"/>
      <c r="D33" s="1481"/>
      <c r="E33" s="1481"/>
      <c r="F33" s="1481"/>
      <c r="G33" s="1481"/>
      <c r="H33" s="1481"/>
      <c r="I33" s="1481"/>
      <c r="J33" s="1481"/>
      <c r="K33" s="1481"/>
      <c r="L33" s="1482"/>
      <c r="M33" s="1481"/>
      <c r="N33" s="1481"/>
      <c r="O33" s="1481"/>
      <c r="S33" s="2363" t="s">
        <v>517</v>
      </c>
      <c r="T33" s="2363"/>
      <c r="U33" s="1485"/>
      <c r="V33" s="2364" t="str">
        <f>IF(TITLE_NUMBER_PR_CHANGE="",IF(TITLE_NUMBER_PR="","",TITLE_NUMBER_PR),TITLE_NUMBER_PR_CHANGE)</f>
        <v>27-2139</v>
      </c>
      <c r="W33" s="2364"/>
      <c r="X33" s="2364"/>
      <c r="Y33" s="2364"/>
      <c r="Z33" s="2364"/>
      <c r="AA33" s="2364"/>
      <c r="AB33" s="2364"/>
      <c r="AC33" s="2364"/>
      <c r="AD33" s="2364"/>
      <c r="AE33" s="2364"/>
      <c r="AF33" s="439"/>
      <c r="AG33" s="2364" t="str">
        <f>IF(TITLE_NUMBER_PR_CHANGE="",IF(TITLE_NUMBER_PR="","",TITLE_NUMBER_PR),TITLE_NUMBER_PR_CHANGE)</f>
        <v>27-2139</v>
      </c>
      <c r="AH33" s="2364"/>
      <c r="AI33" s="2364"/>
      <c r="AJ33" s="2364"/>
      <c r="AK33" s="2364"/>
      <c r="AL33" s="2364"/>
      <c r="AM33" s="2364"/>
      <c r="AN33" s="2364"/>
      <c r="AO33" s="2364"/>
      <c r="AP33" s="2364"/>
      <c r="AQ33" s="439"/>
      <c r="AR33" s="439"/>
      <c r="AS33" s="393"/>
      <c r="AT33" s="481"/>
      <c r="AU33" s="481"/>
      <c r="AV33" s="481"/>
      <c r="AW33" s="481"/>
      <c r="AX33" s="481"/>
      <c r="AY33" s="531">
        <v>0</v>
      </c>
    </row>
    <row s="560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518</v>
      </c>
      <c r="AG34" s="439"/>
      <c r="AH34" s="1748"/>
      <c r="AI34" s="1748"/>
      <c r="AJ34" s="1748"/>
      <c r="AK34" s="1748"/>
      <c r="AL34" s="1748"/>
      <c r="AM34" s="439"/>
      <c r="AN34" s="439"/>
      <c r="AO34" s="439"/>
      <c r="AP34" s="439"/>
      <c r="AQ34" s="391" t="s">
        <v>518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393</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394</v>
      </c>
      <c r="AY36" s="1268">
        <v>14</v>
      </c>
    </row>
    <row customHeight="1" ht="14.699999999999998">
      <c r="Q37" s="489"/>
      <c r="R37" s="489"/>
      <c r="S37" s="2386" t="s">
        <v>88</v>
      </c>
      <c r="T37" s="2322" t="s">
        <v>519</v>
      </c>
      <c r="U37" s="414"/>
      <c r="V37" s="2387" t="s">
        <v>520</v>
      </c>
      <c r="W37" s="2388"/>
      <c r="X37" s="2388"/>
      <c r="Y37" s="2388"/>
      <c r="Z37" s="2388"/>
      <c r="AA37" s="2388"/>
      <c r="AB37" s="2388"/>
      <c r="AC37" s="2388"/>
      <c r="AD37" s="2388"/>
      <c r="AE37" s="2389"/>
      <c r="AF37" s="2390" t="s">
        <v>521</v>
      </c>
      <c r="AG37" s="2387" t="s">
        <v>520</v>
      </c>
      <c r="AH37" s="2388"/>
      <c r="AI37" s="2388"/>
      <c r="AJ37" s="2388"/>
      <c r="AK37" s="2388"/>
      <c r="AL37" s="2388"/>
      <c r="AM37" s="2388"/>
      <c r="AN37" s="2388"/>
      <c r="AO37" s="2388"/>
      <c r="AP37" s="2389"/>
      <c r="AQ37" s="2390" t="s">
        <v>522</v>
      </c>
      <c r="AR37" s="2393" t="s">
        <v>523</v>
      </c>
      <c r="AS37" s="2240"/>
      <c r="AY37" s="1268">
        <v>14</v>
      </c>
    </row>
    <row s="5387"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623</v>
      </c>
      <c r="W38" s="2478" t="s">
        <v>624</v>
      </c>
      <c r="X38" s="2478"/>
      <c r="Y38" s="2478"/>
      <c r="Z38" s="2478" t="s">
        <v>625</v>
      </c>
      <c r="AA38" s="2478"/>
      <c r="AB38" s="2478"/>
      <c r="AC38" s="2407" t="s">
        <v>527</v>
      </c>
      <c r="AD38" s="2426"/>
      <c r="AE38" s="2427"/>
      <c r="AF38" s="2391"/>
      <c r="AG38" s="2479" t="s">
        <v>623</v>
      </c>
      <c r="AH38" s="2478" t="s">
        <v>624</v>
      </c>
      <c r="AI38" s="2478"/>
      <c r="AJ38" s="2478"/>
      <c r="AK38" s="2478" t="s">
        <v>625</v>
      </c>
      <c r="AL38" s="2478"/>
      <c r="AM38" s="2478"/>
      <c r="AN38" s="2407" t="s">
        <v>527</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626</v>
      </c>
      <c r="X39" s="2478" t="s">
        <v>627</v>
      </c>
      <c r="Y39" s="2478"/>
      <c r="Z39" s="2478" t="s">
        <v>628</v>
      </c>
      <c r="AA39" s="2478" t="s">
        <v>627</v>
      </c>
      <c r="AB39" s="2478"/>
      <c r="AC39" s="2408"/>
      <c r="AD39" s="2428"/>
      <c r="AE39" s="2429"/>
      <c r="AF39" s="2391"/>
      <c r="AG39" s="2479"/>
      <c r="AH39" s="2478" t="s">
        <v>626</v>
      </c>
      <c r="AI39" s="2478" t="s">
        <v>627</v>
      </c>
      <c r="AJ39" s="2478"/>
      <c r="AK39" s="2478" t="s">
        <v>628</v>
      </c>
      <c r="AL39" s="2478" t="s">
        <v>627</v>
      </c>
      <c r="AM39" s="2478"/>
      <c r="AN39" s="2408"/>
      <c r="AO39" s="2428"/>
      <c r="AP39" s="2429"/>
      <c r="AQ39" s="2391"/>
      <c r="AR39" s="2394"/>
      <c r="AS39" s="2240"/>
      <c r="AY39" s="1268">
        <v>19</v>
      </c>
    </row>
    <row customHeight="1" ht="61.949999999999996">
      <c r="A40" s="1483"/>
      <c r="B40" s="1483" t="s">
        <v>167</v>
      </c>
      <c r="C40" s="1483" t="s">
        <v>168</v>
      </c>
      <c r="D40" s="1483" t="s">
        <v>169</v>
      </c>
      <c r="E40" s="1477" t="s">
        <v>528</v>
      </c>
      <c r="F40" s="1477" t="s">
        <v>529</v>
      </c>
      <c r="G40" s="1477" t="s">
        <v>530</v>
      </c>
      <c r="H40" s="1477"/>
      <c r="I40" s="1477" t="s">
        <v>580</v>
      </c>
      <c r="J40" s="1477" t="s">
        <v>533</v>
      </c>
      <c r="K40" s="1477" t="s">
        <v>581</v>
      </c>
      <c r="L40" s="1477" t="s">
        <v>509</v>
      </c>
      <c r="Q40" s="489"/>
      <c r="R40" s="489"/>
      <c r="S40" s="2386"/>
      <c r="T40" s="2322"/>
      <c r="U40" s="415"/>
      <c r="V40" s="2479"/>
      <c r="W40" s="2478"/>
      <c r="X40" s="2096" t="s">
        <v>629</v>
      </c>
      <c r="Y40" s="2096" t="s">
        <v>630</v>
      </c>
      <c r="Z40" s="2478"/>
      <c r="AA40" s="2096" t="s">
        <v>631</v>
      </c>
      <c r="AB40" s="2096" t="s">
        <v>632</v>
      </c>
      <c r="AC40" s="1602" t="s">
        <v>537</v>
      </c>
      <c r="AD40" s="2383" t="s">
        <v>538</v>
      </c>
      <c r="AE40" s="2384"/>
      <c r="AF40" s="2392"/>
      <c r="AG40" s="2479"/>
      <c r="AH40" s="2478"/>
      <c r="AI40" s="2096" t="s">
        <v>629</v>
      </c>
      <c r="AJ40" s="2096" t="s">
        <v>630</v>
      </c>
      <c r="AK40" s="2478"/>
      <c r="AL40" s="2096" t="s">
        <v>631</v>
      </c>
      <c r="AM40" s="2096" t="s">
        <v>632</v>
      </c>
      <c r="AN40" s="1602" t="s">
        <v>537</v>
      </c>
      <c r="AO40" s="2383" t="s">
        <v>538</v>
      </c>
      <c r="AP40" s="2384"/>
      <c r="AQ40" s="2392"/>
      <c r="AR40" s="2395"/>
      <c r="AS40" s="2240"/>
      <c r="AY40" s="1268">
        <v>59</v>
      </c>
    </row>
    <row s="6074"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136</v>
      </c>
      <c r="T41" s="1368" t="s">
        <v>103</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285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155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285</v>
      </c>
      <c r="B43" s="1476" t="s">
        <v>286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490</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491</v>
      </c>
      <c r="AU43" s="613"/>
      <c r="AV43" s="613" t="str">
        <f>IF(T43="","",T43)</f>
        <v>Территория действия тарифа</v>
      </c>
      <c r="AW43" s="613"/>
      <c r="AX43" s="613"/>
      <c r="AY43" s="1268">
        <v>23</v>
      </c>
    </row>
    <row customHeight="1" ht="24">
      <c r="A44" s="1476" t="s">
        <v>285</v>
      </c>
      <c r="B44" s="1476" t="s">
        <v>286</v>
      </c>
      <c r="C44" s="1476" t="s">
        <v>287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621</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622</v>
      </c>
      <c r="AU44" s="613"/>
      <c r="AV44" s="613" t="str">
        <f>IF(T44="","",T44)</f>
        <v>Наименование централизованной системы горячего водоснабжения</v>
      </c>
      <c r="AW44" s="613"/>
      <c r="AX44" s="613"/>
      <c r="AY44" s="1268">
        <v>23</v>
      </c>
    </row>
    <row customHeight="1" ht="24">
      <c r="A45" s="1476" t="s">
        <v>285</v>
      </c>
      <c r="B45" s="1476" t="s">
        <v>286</v>
      </c>
      <c r="C45" s="1476" t="s">
        <v>287</v>
      </c>
      <c r="D45" s="1476" t="s">
        <v>634</v>
      </c>
      <c r="E45" s="2372"/>
      <c r="F45" s="2372"/>
      <c r="G45" s="2372"/>
      <c r="H45" s="2372"/>
      <c r="I45" s="2369" t="str">
        <f>S44&amp;".1"</f>
        <v>...1</v>
      </c>
      <c r="J45" s="1476"/>
      <c r="K45" s="1476"/>
      <c r="L45" s="1477"/>
      <c r="P45" s="2370">
        <v>1</v>
      </c>
      <c r="Q45" s="1594"/>
      <c r="R45" s="469"/>
      <c r="S45" s="1606" t="str">
        <f>$I45</f>
        <v>...1</v>
      </c>
      <c r="T45" s="398" t="s">
        <v>573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574</v>
      </c>
      <c r="AU45" s="613"/>
      <c r="AV45" s="613" t="str">
        <f>IF(T45="","",T45)</f>
        <v>Наименование признака дифференциации</v>
      </c>
      <c r="AW45" s="613"/>
      <c r="AX45" s="613"/>
      <c r="AY45" s="1268">
        <v>23</v>
      </c>
    </row>
    <row customHeight="1" ht="24">
      <c r="A46" s="1476" t="s">
        <v>285</v>
      </c>
      <c r="B46" s="1476" t="s">
        <v>286</v>
      </c>
      <c r="C46" s="1476" t="s">
        <v>287</v>
      </c>
      <c r="D46" s="1476" t="s">
        <v>634</v>
      </c>
      <c r="E46" s="2372"/>
      <c r="F46" s="2372"/>
      <c r="G46" s="2372"/>
      <c r="H46" s="2372"/>
      <c r="I46" s="2399"/>
      <c r="J46" s="2369" t="str">
        <f>I45&amp;".1"</f>
        <v>...1.1</v>
      </c>
      <c r="K46" s="1476"/>
      <c r="L46" s="1477" t="s">
        <v>499</v>
      </c>
      <c r="P46" s="2370"/>
      <c r="Q46" s="2370">
        <v>1</v>
      </c>
      <c r="R46" s="470"/>
      <c r="S46" s="1606" t="str">
        <f>$J46</f>
        <v>...1.1</v>
      </c>
      <c r="T46" s="399" t="s">
        <v>500</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575</v>
      </c>
      <c r="AU46" s="613"/>
      <c r="AV46" s="613" t="str">
        <f>IF(T46="","",T46)</f>
        <v>Группа потребителей</v>
      </c>
      <c r="AW46" s="613"/>
      <c r="AX46" s="613"/>
      <c r="AY46" s="1268">
        <v>23</v>
      </c>
    </row>
    <row customHeight="1" ht="24">
      <c r="A47" s="1476" t="s">
        <v>285</v>
      </c>
      <c r="B47" s="1476" t="s">
        <v>286</v>
      </c>
      <c r="C47" s="1476" t="s">
        <v>287</v>
      </c>
      <c r="D47" s="1476" t="s">
        <v>634</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285</v>
      </c>
      <c r="B48" s="1476" t="s">
        <v>286</v>
      </c>
      <c r="C48" s="1476" t="s">
        <v>287</v>
      </c>
      <c r="D48" s="1476" t="s">
        <v>634</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285</v>
      </c>
      <c r="B49" s="1476" t="s">
        <v>286</v>
      </c>
      <c r="C49" s="1476" t="s">
        <v>287</v>
      </c>
      <c r="D49" s="1476" t="s">
        <v>634</v>
      </c>
      <c r="E49" s="2372"/>
      <c r="F49" s="2372"/>
      <c r="G49" s="2372"/>
      <c r="H49" s="2372"/>
      <c r="I49" s="2399"/>
      <c r="J49" s="2369"/>
      <c r="K49" s="1476"/>
      <c r="L49" s="1477"/>
      <c r="P49" s="2370"/>
      <c r="Q49" s="2370"/>
      <c r="R49" s="469"/>
      <c r="S49" s="1391"/>
      <c r="T49" s="400" t="s">
        <v>576</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577</v>
      </c>
      <c r="AU49" s="613"/>
      <c r="AV49" s="613" t="str">
        <f>IF(T49="","",T49)</f>
        <v>Добавить значение признака дифференциации</v>
      </c>
      <c r="AW49" s="613"/>
      <c r="AX49" s="613"/>
      <c r="AY49" s="1268">
        <v>20</v>
      </c>
    </row>
    <row customHeight="1" ht="22.049999999999997">
      <c r="A50" s="1476" t="s">
        <v>285</v>
      </c>
      <c r="B50" s="1476" t="s">
        <v>286</v>
      </c>
      <c r="C50" s="1476" t="s">
        <v>287</v>
      </c>
      <c r="D50" s="1476" t="s">
        <v>634</v>
      </c>
      <c r="E50" s="2372"/>
      <c r="F50" s="2372"/>
      <c r="G50" s="2372"/>
      <c r="H50" s="2372"/>
      <c r="I50" s="2369"/>
      <c r="J50" s="1476"/>
      <c r="K50" s="1476"/>
      <c r="L50" s="1477"/>
      <c r="P50" s="2370"/>
      <c r="Q50" s="1594"/>
      <c r="R50" s="469"/>
      <c r="S50" s="1391"/>
      <c r="T50" s="478" t="s">
        <v>505</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285</v>
      </c>
      <c r="B51" s="1476" t="s">
        <v>286</v>
      </c>
      <c r="C51" s="1476" t="s">
        <v>287</v>
      </c>
      <c r="D51" s="1476" t="s">
        <v>634</v>
      </c>
      <c r="E51" s="2372"/>
      <c r="F51" s="2372"/>
      <c r="G51" s="2372"/>
      <c r="H51" s="2371"/>
      <c r="I51" s="1476"/>
      <c r="J51" s="1476"/>
      <c r="K51" s="1476"/>
      <c r="L51" s="1477"/>
      <c r="M51" s="1478"/>
      <c r="N51" s="1478"/>
      <c r="O51" s="650"/>
      <c r="P51" s="473"/>
      <c r="Q51" s="488"/>
      <c r="R51" s="468"/>
      <c r="S51" s="1391"/>
      <c r="T51" s="485" t="s">
        <v>578</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8" customFormat="1" customHeight="1" ht="0">
      <c r="A52" s="1456" t="s">
        <v>285</v>
      </c>
      <c r="B52" s="1456" t="s">
        <v>286</v>
      </c>
      <c r="C52" s="1427"/>
      <c r="D52" s="1427"/>
      <c r="E52" s="2372"/>
      <c r="F52" s="2371"/>
      <c r="G52" s="1427"/>
      <c r="H52" s="1427"/>
      <c r="I52" s="1427"/>
      <c r="J52" s="1427"/>
      <c r="K52" s="1427"/>
      <c r="L52" s="1607"/>
      <c r="M52" s="1434"/>
      <c r="N52" s="1434"/>
      <c r="P52" s="1429"/>
      <c r="Q52" s="1430"/>
      <c r="R52" s="1429"/>
      <c r="S52" s="1435"/>
      <c r="T52" s="1438" t="s">
        <v>312</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8" customFormat="1" customHeight="1" ht="0">
      <c r="A53" s="1456" t="s">
        <v>285</v>
      </c>
      <c r="B53" s="1456"/>
      <c r="C53" s="1456"/>
      <c r="D53" s="1456"/>
      <c r="E53" s="2371"/>
      <c r="F53" s="1456"/>
      <c r="G53" s="1456"/>
      <c r="H53" s="1456"/>
      <c r="I53" s="1456"/>
      <c r="J53" s="1456"/>
      <c r="K53" s="1456"/>
      <c r="L53" s="1459"/>
      <c r="M53" s="1434"/>
      <c r="N53" s="1434"/>
      <c r="O53" s="631"/>
      <c r="P53" s="493"/>
      <c r="Q53" s="1457"/>
      <c r="R53" s="493"/>
      <c r="S53" s="1435"/>
      <c r="T53" s="1438" t="s">
        <v>360</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361</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7E09D-6649-49FE-F874-27C1D52BE93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67" width="11.57421875" hidden="1" customWidth="1"/>
    <col min="2" max="2" style="5467" width="11.00390625" hidden="1" customWidth="1"/>
    <col min="3" max="3" style="5467" width="10.57421875" hidden="1"/>
    <col min="4" max="4" style="5467" width="12.8515625" hidden="1" customWidth="1"/>
    <col min="5" max="5" style="5467" width="10.00390625" hidden="1" customWidth="1"/>
    <col min="6" max="6" style="5467" width="8.7109375" hidden="1" customWidth="1"/>
    <col min="7" max="7" style="5467" width="7.57421875" hidden="1" customWidth="1"/>
    <col min="8" max="8" style="5467" width="11.421875" hidden="1" customWidth="1"/>
    <col min="9" max="9" style="5467" width="12.00390625" hidden="1" customWidth="1"/>
    <col min="10" max="10" style="5467" width="9.8515625" hidden="1" customWidth="1"/>
    <col min="11" max="11" style="5467" width="11.421875" hidden="1" customWidth="1"/>
    <col min="12" max="12" style="6316" width="19.140625" hidden="1" customWidth="1"/>
    <col min="13" max="14" style="6317" width="12.28125" hidden="1" customWidth="1"/>
    <col min="15" max="15" style="6317" width="23.421875" hidden="1" customWidth="1"/>
    <col min="16" max="16" style="6317" width="3.7109375" hidden="1" customWidth="1"/>
    <col min="17" max="17" style="6502" width="3.7109375" hidden="1" customWidth="1"/>
    <col min="18" max="18" style="6319" width="3.00390625" customWidth="1"/>
    <col min="19" max="19" style="6320" width="12.00390625" customWidth="1"/>
    <col min="20" max="20" style="5387" width="31.00390625" customWidth="1"/>
    <col min="21" max="21" style="5387" width="0.140625" customWidth="1"/>
    <col min="22" max="25" style="5387" width="21.7109375" hidden="1" customWidth="1"/>
    <col min="26" max="26" style="5387" width="11.7109375" hidden="1" customWidth="1"/>
    <col min="27" max="27" style="5387" width="3.7109375" hidden="1" customWidth="1"/>
    <col min="28" max="28" style="5387" width="11.7109375" hidden="1" customWidth="1"/>
    <col min="29" max="29" style="5387" width="8.57421875" hidden="1" customWidth="1"/>
    <col min="30" max="30" style="5387" width="3.7109375" customWidth="1"/>
    <col min="31" max="32" style="5387" width="3.00390625" customWidth="1"/>
    <col min="33" max="33" style="5387" width="24.00390625" customWidth="1"/>
    <col min="34" max="34" style="5387" width="3.7109375" customWidth="1"/>
    <col min="35" max="36" style="5387" width="3.00390625" customWidth="1"/>
    <col min="37" max="37" style="5387" width="24.00390625" customWidth="1"/>
    <col min="38" max="38" style="5387" width="3.7109375" customWidth="1"/>
    <col min="39" max="40" style="5387" width="3.00390625" customWidth="1"/>
    <col min="41" max="41" style="5387" width="18.00390625" customWidth="1"/>
    <col min="42" max="42" style="5387" width="3.7109375" customWidth="1"/>
    <col min="43" max="44" style="5387" width="3.00390625" customWidth="1"/>
    <col min="45" max="45" style="5387" width="18.00390625" customWidth="1"/>
    <col min="46" max="49" style="5387" width="21.00390625" customWidth="1"/>
    <col min="50" max="50" style="5387" width="11.00390625" customWidth="1"/>
    <col min="51" max="51" style="5387" width="3.7109375" customWidth="1"/>
    <col min="52" max="52" style="5387" width="11.00390625" customWidth="1"/>
    <col min="53" max="53" style="5387" width="8.57421875" hidden="1" customWidth="1"/>
    <col min="54" max="54" style="5387" width="4.00390625" customWidth="1"/>
    <col min="55" max="55" style="5387" width="115.00390625" customWidth="1"/>
    <col min="56" max="60" style="5468" width="10.00390625" customWidth="1"/>
    <col min="61" max="61" style="538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155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490</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491</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621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622</v>
      </c>
      <c r="BE4" s="613"/>
      <c r="BF4" s="613" t="str">
        <f>IF(T4="","",T4)</f>
        <v>Наименование централизованной системы горячего водоснабжения</v>
      </c>
      <c r="BG4" s="613"/>
      <c r="BH4" s="613"/>
      <c r="BI4" s="1268">
        <v>0</v>
      </c>
    </row>
    <row s="546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495</v>
      </c>
      <c r="BE5" s="613"/>
      <c r="BF5" s="613" t="str">
        <f>IF(T5="","",T5)</f>
        <v/>
      </c>
      <c r="BG5" s="613"/>
      <c r="BH5" s="613"/>
      <c r="BI5" s="624">
        <v>0</v>
      </c>
    </row>
    <row s="5468" customFormat="1" customHeight="1" ht="14.25" hidden="1">
      <c r="A6" s="1456"/>
      <c r="B6" s="1456"/>
      <c r="C6" s="1456"/>
      <c r="D6" s="1456"/>
      <c r="E6" s="2372"/>
      <c r="F6" s="2372"/>
      <c r="G6" s="2372"/>
      <c r="H6" s="2372"/>
      <c r="I6" s="2369" t="str">
        <f>S5&amp;".1"</f>
        <v>.1</v>
      </c>
      <c r="J6" s="1456"/>
      <c r="K6" s="1456"/>
      <c r="L6" s="1459" t="s">
        <v>496</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591</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592</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593</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594</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595</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558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312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360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508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73" customFormat="1" customHeight="1" ht="14.25" hidden="1">
      <c r="M24" s="1621"/>
      <c r="N24" s="1621"/>
      <c r="O24" s="1622" t="s">
        <v>509</v>
      </c>
      <c r="P24" s="1621"/>
      <c r="Q24" s="1623"/>
      <c r="R24" s="1623"/>
      <c r="AA24" s="1620" t="s">
        <v>511</v>
      </c>
      <c r="AC24" s="1620" t="s">
        <v>512</v>
      </c>
      <c r="AD24" s="1620" t="s">
        <v>559</v>
      </c>
      <c r="AH24" s="1620" t="s">
        <v>559</v>
      </c>
      <c r="AK24" s="1620" t="s">
        <v>596</v>
      </c>
      <c r="AL24" s="1620" t="s">
        <v>559</v>
      </c>
      <c r="AP24" s="1620" t="s">
        <v>559</v>
      </c>
      <c r="AY24" s="1620" t="s">
        <v>511</v>
      </c>
      <c r="BA24" s="1620" t="s">
        <v>512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0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0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514</v>
      </c>
      <c r="T32" s="2363"/>
      <c r="U32" s="1485"/>
      <c r="V32" s="2377" t="str">
        <f>IF(TITLE_DATE_PR_CHANGE="",IF(TITLE_DATE_PR="","",TITLE_DATE_PR),TITLE_DATE_PR_CHANGE)</f>
        <v>45408.605891203704</v>
      </c>
      <c r="W32" s="2377"/>
      <c r="X32" s="2377"/>
      <c r="Y32" s="2377"/>
      <c r="Z32" s="2377"/>
      <c r="AA32" s="2377"/>
      <c r="AB32" s="2377"/>
      <c r="AC32" s="439"/>
      <c r="AD32" s="2377" t="str">
        <f>IF(TITLE_DATE_PR_CHANGE="",IF(TITLE_DATE_PR="","",TITLE_DATE_PR),TITLE_DATE_PR_CHANGE)</f>
        <v>45408.605891203704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0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515</v>
      </c>
      <c r="T33" s="2363"/>
      <c r="U33" s="1485"/>
      <c r="V33" s="2364" t="str">
        <f>IF(TITLE_NUMBER_PR_CHANGE="",IF(TITLE_NUMBER_PR="","",TITLE_NUMBER_PR),TITLE_NUMBER_PR_CHANGE)</f>
        <v>27-2139</v>
      </c>
      <c r="W33" s="2364"/>
      <c r="X33" s="2364"/>
      <c r="Y33" s="2364"/>
      <c r="Z33" s="2364"/>
      <c r="AA33" s="2364"/>
      <c r="AB33" s="2364"/>
      <c r="AC33" s="439"/>
      <c r="AD33" s="2364" t="str">
        <f>IF(TITLE_NUMBER_PR_CHANGE="",IF(TITLE_NUMBER_PR="","",TITLE_NUMBER_PR),TITLE_NUMBER_PR_CHANGE)</f>
        <v>27-2139</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0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04" customFormat="1" customHeight="1" ht="18.75">
      <c r="A36" s="1481"/>
      <c r="B36" s="1481"/>
      <c r="C36" s="1481"/>
      <c r="D36" s="1481"/>
      <c r="E36" s="1481"/>
      <c r="F36" s="1481"/>
      <c r="G36" s="1481"/>
      <c r="H36" s="1481"/>
      <c r="I36" s="1481"/>
      <c r="J36" s="1481"/>
      <c r="K36" s="1481"/>
      <c r="L36" s="1482"/>
      <c r="M36" s="1481"/>
      <c r="N36" s="1481"/>
      <c r="O36" s="1481"/>
      <c r="P36" s="1481"/>
      <c r="Q36" s="1481"/>
      <c r="S36" s="2363" t="s">
        <v>514</v>
      </c>
      <c r="T36" s="2363"/>
      <c r="U36" s="1485"/>
      <c r="V36" s="2377" t="str">
        <f>IF(TITLE_DATE_PR_CHANGE="",IF(TITLE_DATE_PR="","",TITLE_DATE_PR),TITLE_DATE_PR_CHANGE)</f>
        <v>45408.605891203704</v>
      </c>
      <c r="W36" s="2377"/>
      <c r="X36" s="2377"/>
      <c r="Y36" s="2377"/>
      <c r="Z36" s="2377"/>
      <c r="AA36" s="2377"/>
      <c r="AB36" s="2377"/>
      <c r="AC36" s="439"/>
      <c r="AD36" s="2377" t="str">
        <f>IF(TITLE_DATE_PR_CHANGE="",IF(TITLE_DATE_PR="","",TITLE_DATE_PR),TITLE_DATE_PR_CHANGE)</f>
        <v>45408.605891203704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04" customFormat="1" customHeight="1" ht="18.75">
      <c r="A37" s="1481"/>
      <c r="B37" s="1481"/>
      <c r="C37" s="1481"/>
      <c r="D37" s="1481"/>
      <c r="E37" s="1481"/>
      <c r="F37" s="1481"/>
      <c r="G37" s="1481"/>
      <c r="H37" s="1481"/>
      <c r="I37" s="1481"/>
      <c r="J37" s="1481"/>
      <c r="K37" s="1481"/>
      <c r="L37" s="1482"/>
      <c r="M37" s="1481"/>
      <c r="N37" s="1481"/>
      <c r="O37" s="1481"/>
      <c r="P37" s="1481"/>
      <c r="Q37" s="1481"/>
      <c r="S37" s="2363" t="s">
        <v>515</v>
      </c>
      <c r="T37" s="2363"/>
      <c r="U37" s="1485"/>
      <c r="V37" s="2364" t="str">
        <f>IF(TITLE_NUMBER_PR_CHANGE="",IF(TITLE_NUMBER_PR="","",TITLE_NUMBER_PR),TITLE_NUMBER_PR_CHANGE)</f>
        <v>27-2139</v>
      </c>
      <c r="W37" s="2364"/>
      <c r="X37" s="2364"/>
      <c r="Y37" s="2364"/>
      <c r="Z37" s="2364"/>
      <c r="AA37" s="2364"/>
      <c r="AB37" s="2364"/>
      <c r="AC37" s="439"/>
      <c r="AD37" s="2364" t="str">
        <f>IF(TITLE_NUMBER_PR_CHANGE="",IF(TITLE_NUMBER_PR="","",TITLE_NUMBER_PR),TITLE_NUMBER_PR_CHANGE)</f>
        <v>27-2139</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0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518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518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393</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394</v>
      </c>
      <c r="BI40" s="1268">
        <v>14</v>
      </c>
    </row>
    <row customHeight="1" ht="14.699999999999998">
      <c r="Q41" s="404"/>
      <c r="R41" s="489"/>
      <c r="S41" s="2386" t="s">
        <v>88</v>
      </c>
      <c r="T41" s="2322" t="s">
        <v>597</v>
      </c>
      <c r="U41" s="414"/>
      <c r="V41" s="2387" t="s">
        <v>520</v>
      </c>
      <c r="W41" s="2388"/>
      <c r="X41" s="2388"/>
      <c r="Y41" s="2388"/>
      <c r="Z41" s="2388"/>
      <c r="AA41" s="2388"/>
      <c r="AB41" s="2389"/>
      <c r="AC41" s="2390" t="s">
        <v>521</v>
      </c>
      <c r="AD41" s="2441" t="s">
        <v>598</v>
      </c>
      <c r="AE41" s="2404"/>
      <c r="AF41" s="2404"/>
      <c r="AG41" s="2442"/>
      <c r="AH41" s="2441" t="s">
        <v>599</v>
      </c>
      <c r="AI41" s="2404"/>
      <c r="AJ41" s="2404"/>
      <c r="AK41" s="2442"/>
      <c r="AL41" s="2441" t="s">
        <v>600</v>
      </c>
      <c r="AM41" s="2404"/>
      <c r="AN41" s="2404"/>
      <c r="AO41" s="2442"/>
      <c r="AP41" s="2441" t="s">
        <v>601</v>
      </c>
      <c r="AQ41" s="2404"/>
      <c r="AR41" s="2404"/>
      <c r="AS41" s="2442"/>
      <c r="AT41" s="2387" t="s">
        <v>520</v>
      </c>
      <c r="AU41" s="2388"/>
      <c r="AV41" s="2388"/>
      <c r="AW41" s="2388"/>
      <c r="AX41" s="2388"/>
      <c r="AY41" s="2388"/>
      <c r="AZ41" s="2389"/>
      <c r="BA41" s="2390" t="s">
        <v>521</v>
      </c>
      <c r="BB41" s="2393" t="s">
        <v>523</v>
      </c>
      <c r="BC41" s="2240"/>
      <c r="BI41" s="1268">
        <v>14</v>
      </c>
    </row>
    <row customHeight="1" ht="35.699999999999996">
      <c r="Q42" s="404"/>
      <c r="R42" s="489"/>
      <c r="S42" s="2386"/>
      <c r="T42" s="2322"/>
      <c r="U42" s="1144"/>
      <c r="V42" s="2305" t="s">
        <v>602</v>
      </c>
      <c r="W42" s="2306"/>
      <c r="X42" s="2305" t="s">
        <v>603</v>
      </c>
      <c r="Y42" s="2306"/>
      <c r="Z42" s="2407" t="s">
        <v>604</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602</v>
      </c>
      <c r="AU42" s="2306"/>
      <c r="AV42" s="2305" t="s">
        <v>603</v>
      </c>
      <c r="AW42" s="2306"/>
      <c r="AX42" s="2407" t="s">
        <v>604</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167</v>
      </c>
      <c r="C44" s="1483" t="s">
        <v>168</v>
      </c>
      <c r="D44" s="1483" t="s">
        <v>169</v>
      </c>
      <c r="E44" s="1477" t="s">
        <v>528</v>
      </c>
      <c r="F44" s="1477" t="s">
        <v>529</v>
      </c>
      <c r="G44" s="1477" t="s">
        <v>530</v>
      </c>
      <c r="H44" s="1477" t="s">
        <v>531</v>
      </c>
      <c r="I44" s="1477" t="s">
        <v>532</v>
      </c>
      <c r="J44" s="1477" t="s">
        <v>533</v>
      </c>
      <c r="K44" s="1477" t="s">
        <v>534</v>
      </c>
      <c r="L44" s="1477" t="s">
        <v>509</v>
      </c>
      <c r="Q44" s="404"/>
      <c r="R44" s="489"/>
      <c r="S44" s="2386"/>
      <c r="T44" s="2322"/>
      <c r="U44" s="415"/>
      <c r="V44" s="1592" t="s">
        <v>568</v>
      </c>
      <c r="W44" s="1592" t="s">
        <v>569</v>
      </c>
      <c r="X44" s="1592" t="s">
        <v>568</v>
      </c>
      <c r="Y44" s="1592" t="s">
        <v>569</v>
      </c>
      <c r="Z44" s="1602" t="s">
        <v>537</v>
      </c>
      <c r="AA44" s="2383" t="s">
        <v>538</v>
      </c>
      <c r="AB44" s="2384"/>
      <c r="AC44" s="2392"/>
      <c r="AD44" s="2446"/>
      <c r="AE44" s="2447"/>
      <c r="AF44" s="2447"/>
      <c r="AG44" s="2448"/>
      <c r="AH44" s="2446"/>
      <c r="AI44" s="2447"/>
      <c r="AJ44" s="2447"/>
      <c r="AK44" s="2448"/>
      <c r="AL44" s="2446"/>
      <c r="AM44" s="2447"/>
      <c r="AN44" s="2447"/>
      <c r="AO44" s="2448"/>
      <c r="AP44" s="2446"/>
      <c r="AQ44" s="2447"/>
      <c r="AR44" s="2447"/>
      <c r="AS44" s="2448"/>
      <c r="AT44" s="1592" t="s">
        <v>568</v>
      </c>
      <c r="AU44" s="1592" t="s">
        <v>569</v>
      </c>
      <c r="AV44" s="1592" t="s">
        <v>568</v>
      </c>
      <c r="AW44" s="1592" t="s">
        <v>569</v>
      </c>
      <c r="AX44" s="1602" t="s">
        <v>537</v>
      </c>
      <c r="AY44" s="2383" t="s">
        <v>538</v>
      </c>
      <c r="AZ44" s="2384"/>
      <c r="BA44" s="2392"/>
      <c r="BB44" s="2395"/>
      <c r="BC44" s="2240"/>
      <c r="BI44" s="1268">
        <v>14</v>
      </c>
    </row>
    <row s="6074"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136</v>
      </c>
      <c r="T45" s="1368" t="s">
        <v>103</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290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155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290</v>
      </c>
      <c r="B47" s="1476" t="s">
        <v>291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490</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491</v>
      </c>
      <c r="BE47" s="613"/>
      <c r="BF47" s="613" t="str">
        <f>IF(T47="","",T47)</f>
        <v>Территория действия тарифа</v>
      </c>
      <c r="BG47" s="613"/>
      <c r="BH47" s="613"/>
      <c r="BI47" s="1268">
        <v>21</v>
      </c>
    </row>
    <row customHeight="1" ht="35.699999999999996">
      <c r="A48" s="1476" t="s">
        <v>290</v>
      </c>
      <c r="B48" s="1476" t="s">
        <v>291</v>
      </c>
      <c r="C48" s="1476" t="s">
        <v>292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621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622</v>
      </c>
      <c r="BE48" s="613"/>
      <c r="BF48" s="613" t="str">
        <f>IF(T48="","",T48)</f>
        <v>Наименование централизованной системы горячего водоснабжения</v>
      </c>
      <c r="BG48" s="613"/>
      <c r="BH48" s="613"/>
      <c r="BI48" s="1268">
        <v>34</v>
      </c>
    </row>
    <row s="5468" customFormat="1" customHeight="1" ht="0">
      <c r="A49" s="1456" t="s">
        <v>290</v>
      </c>
      <c r="B49" s="1456" t="s">
        <v>291</v>
      </c>
      <c r="C49" s="1456" t="s">
        <v>292</v>
      </c>
      <c r="D49" s="1456" t="s">
        <v>635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495</v>
      </c>
      <c r="BE49" s="613"/>
      <c r="BF49" s="613" t="str">
        <f>IF(T49="","",T49)</f>
        <v/>
      </c>
      <c r="BG49" s="613"/>
      <c r="BH49" s="613"/>
      <c r="BI49" s="624">
        <v>0</v>
      </c>
    </row>
    <row s="5468" customFormat="1" customHeight="1" ht="0">
      <c r="A50" s="1456" t="s">
        <v>290</v>
      </c>
      <c r="B50" s="1456" t="s">
        <v>291</v>
      </c>
      <c r="C50" s="1456" t="s">
        <v>292</v>
      </c>
      <c r="D50" s="1456" t="s">
        <v>635</v>
      </c>
      <c r="E50" s="2372"/>
      <c r="F50" s="2372"/>
      <c r="G50" s="2372"/>
      <c r="H50" s="2372"/>
      <c r="I50" s="2369" t="str">
        <f>S49&amp;".1"</f>
        <v>.1</v>
      </c>
      <c r="J50" s="1456"/>
      <c r="K50" s="1456"/>
      <c r="L50" s="1459" t="s">
        <v>496</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8" customFormat="1" customHeight="1" ht="0">
      <c r="A51" s="1456" t="s">
        <v>290</v>
      </c>
      <c r="B51" s="1456" t="s">
        <v>291</v>
      </c>
      <c r="C51" s="1456" t="s">
        <v>292</v>
      </c>
      <c r="D51" s="1456" t="s">
        <v>635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290</v>
      </c>
      <c r="B52" s="1476" t="s">
        <v>291</v>
      </c>
      <c r="C52" s="1476" t="s">
        <v>292</v>
      </c>
      <c r="D52" s="1476" t="s">
        <v>635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591</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592</v>
      </c>
      <c r="AT53" s="1506"/>
      <c r="AU53" s="1609"/>
      <c r="AV53" s="1506"/>
      <c r="AW53" s="1609"/>
      <c r="AX53" s="1506"/>
      <c r="AY53" s="1506"/>
      <c r="AZ53" s="1506"/>
      <c r="BA53" s="1506"/>
      <c r="BB53" s="1510"/>
      <c r="BC53" s="2367"/>
      <c r="BE53" s="613"/>
      <c r="BF53" s="613"/>
      <c r="BG53" s="613"/>
      <c r="BH53" s="613"/>
      <c r="BI53" s="1268">
        <v>11</v>
      </c>
    </row>
    <row customHeight="1" ht="11.549999999999999">
      <c r="A54" s="1476" t="s">
        <v>290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593</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290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594</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290</v>
      </c>
      <c r="B56" s="1476" t="s">
        <v>291</v>
      </c>
      <c r="C56" s="1476" t="s">
        <v>292</v>
      </c>
      <c r="D56" s="1476" t="s">
        <v>635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595</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290</v>
      </c>
      <c r="B57" s="1476" t="s">
        <v>291</v>
      </c>
      <c r="C57" s="1476" t="s">
        <v>292</v>
      </c>
      <c r="D57" s="1476" t="s">
        <v>635</v>
      </c>
      <c r="E57" s="2372"/>
      <c r="F57" s="2372"/>
      <c r="G57" s="2372"/>
      <c r="H57" s="2372"/>
      <c r="I57" s="2399"/>
      <c r="J57" s="2369"/>
      <c r="K57" s="1476"/>
      <c r="L57" s="1477"/>
      <c r="P57" s="2370"/>
      <c r="Q57" s="2370"/>
      <c r="R57" s="469"/>
      <c r="S57" s="1391"/>
      <c r="T57" s="400" t="s">
        <v>558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8" customFormat="1" customHeight="1" ht="0">
      <c r="A58" s="1456" t="s">
        <v>290</v>
      </c>
      <c r="B58" s="1456" t="s">
        <v>291</v>
      </c>
      <c r="C58" s="1456" t="s">
        <v>292</v>
      </c>
      <c r="D58" s="1456" t="s">
        <v>635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8" customFormat="1" customHeight="1" ht="0">
      <c r="A59" s="1456" t="s">
        <v>290</v>
      </c>
      <c r="B59" s="1456" t="s">
        <v>291</v>
      </c>
      <c r="C59" s="1456" t="s">
        <v>292</v>
      </c>
      <c r="D59" s="1456" t="s">
        <v>635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8" customFormat="1" customHeight="1" ht="0">
      <c r="A60" s="1456" t="s">
        <v>290</v>
      </c>
      <c r="B60" s="1456" t="s">
        <v>291</v>
      </c>
      <c r="C60" s="1456" t="s">
        <v>292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8" customFormat="1" customHeight="1" ht="0">
      <c r="A61" s="1456" t="s">
        <v>290</v>
      </c>
      <c r="B61" s="1456" t="s">
        <v>291</v>
      </c>
      <c r="C61" s="1427"/>
      <c r="D61" s="1427"/>
      <c r="E61" s="2372"/>
      <c r="F61" s="2371"/>
      <c r="G61" s="1427"/>
      <c r="H61" s="1427"/>
      <c r="I61" s="1427"/>
      <c r="J61" s="1427"/>
      <c r="K61" s="1427"/>
      <c r="L61" s="1607"/>
      <c r="M61" s="1434"/>
      <c r="N61" s="1434"/>
      <c r="P61" s="1429"/>
      <c r="Q61" s="1430"/>
      <c r="R61" s="1429"/>
      <c r="S61" s="1435"/>
      <c r="T61" s="1438" t="s">
        <v>312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8" customFormat="1" customHeight="1" ht="0">
      <c r="A62" s="1456" t="s">
        <v>290</v>
      </c>
      <c r="B62" s="1456"/>
      <c r="C62" s="1456"/>
      <c r="D62" s="1456"/>
      <c r="E62" s="2371"/>
      <c r="F62" s="1456"/>
      <c r="G62" s="1456"/>
      <c r="H62" s="1456"/>
      <c r="I62" s="1456"/>
      <c r="J62" s="1456"/>
      <c r="K62" s="1456"/>
      <c r="L62" s="1459"/>
      <c r="M62" s="1434"/>
      <c r="N62" s="1434"/>
      <c r="O62" s="631"/>
      <c r="P62" s="493"/>
      <c r="Q62" s="1457"/>
      <c r="R62" s="493"/>
      <c r="S62" s="1435"/>
      <c r="T62" s="1438" t="s">
        <v>360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361</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E04A5-01D9-F7A5-FE4B-A1415BB7077F}"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126" width="10.7109375" hidden="1" customWidth="1"/>
    <col min="2" max="2" style="5467" width="16.8515625" hidden="1" customWidth="1"/>
    <col min="3" max="3" style="5468" width="5.57421875" hidden="1" customWidth="1"/>
    <col min="4" max="4" style="5387" width="3.00390625" customWidth="1"/>
    <col min="5" max="5" style="5387" width="7.00390625" customWidth="1"/>
    <col min="6" max="6" style="5387" width="54.00390625" customWidth="1"/>
    <col min="7" max="7" style="5387" width="10.00390625" customWidth="1"/>
    <col min="8" max="8" style="5387" width="40.7109375" hidden="1" customWidth="1"/>
    <col min="9" max="9" style="5387" width="40.7109375" customWidth="1"/>
    <col min="10" max="10" style="5387" width="102.00390625" customWidth="1"/>
    <col min="11" max="11" style="5467" width="9.00390625" customWidth="1"/>
    <col min="12" max="12" style="5468" width="5.00390625" customWidth="1"/>
    <col min="13" max="13" style="5468" width="3.00390625" customWidth="1"/>
    <col min="14" max="17" style="5467" width="3.00390625" customWidth="1"/>
    <col min="18" max="18" style="5468" width="10.00390625" customWidth="1"/>
    <col min="19" max="19" style="5467" width="34.00390625" customWidth="1"/>
    <col min="20" max="20" style="5467" width="9.00390625" customWidth="1"/>
    <col min="21" max="21" style="9127" width="8.00390625" customWidth="1"/>
    <col min="22" max="26" style="5467" width="8.00390625" customWidth="1"/>
    <col min="27" max="31" style="5351" width="8.00390625" customWidth="1"/>
    <col min="32" max="32" style="5387" width="9.140625" hidden="1"/>
  </cols>
  <sheetData>
    <row customHeight="1" ht="22.5" hidden="1">
      <c r="AF1" s="1744" t="s">
        <v>14</v>
      </c>
    </row>
    <row customHeight="1" ht="23.25" hidden="1">
      <c r="B2" s="2212"/>
      <c r="C2" s="1280" t="s">
        <v>636</v>
      </c>
      <c r="D2" s="1751"/>
      <c r="E2" s="659">
        <f>B2</f>
        <v>0</v>
      </c>
      <c r="F2" s="660"/>
      <c r="G2" s="1759" t="s">
        <v>637</v>
      </c>
      <c r="H2" s="1759" t="s">
        <v>637</v>
      </c>
      <c r="I2" s="1759" t="s">
        <v>637</v>
      </c>
      <c r="J2" s="402" t="s">
        <v>638</v>
      </c>
      <c r="K2" s="656"/>
      <c r="AF2" s="1744">
        <v>0</v>
      </c>
    </row>
    <row s="5468" customFormat="1" customHeight="1" ht="0.75" hidden="1">
      <c r="B3" s="2212"/>
      <c r="C3" s="1280"/>
      <c r="D3" s="661"/>
      <c r="E3" s="662"/>
      <c r="F3" s="663" t="s">
        <v>639</v>
      </c>
      <c r="G3" s="664"/>
      <c r="H3" s="664">
        <f>H4*H5+H7</f>
        <v>0</v>
      </c>
      <c r="I3" s="664">
        <f>I4*I5+I6</f>
        <v>0</v>
      </c>
      <c r="J3" s="665"/>
      <c r="AF3" s="1749">
        <v>0</v>
      </c>
    </row>
    <row customHeight="1" ht="23.25" hidden="1">
      <c r="B4" s="2212"/>
      <c r="C4" s="1280"/>
      <c r="D4" s="1751"/>
      <c r="E4" s="659" t="str">
        <f>B2&amp;".1"</f>
        <v>.1</v>
      </c>
      <c r="F4" s="666" t="s">
        <v>640</v>
      </c>
      <c r="G4" s="667"/>
      <c r="H4" s="654"/>
      <c r="I4" s="654"/>
      <c r="J4" s="402" t="s">
        <v>641</v>
      </c>
      <c r="K4" s="656"/>
      <c r="AF4" s="1744">
        <v>0</v>
      </c>
    </row>
    <row customHeight="1" ht="18.75" hidden="1">
      <c r="B5" s="2212"/>
      <c r="C5" s="1280"/>
      <c r="D5" s="1751"/>
      <c r="E5" s="659" t="str">
        <f>B2&amp;".2"</f>
        <v>.2</v>
      </c>
      <c r="F5" s="666" t="s">
        <v>642</v>
      </c>
      <c r="G5" s="1759" t="s">
        <v>643</v>
      </c>
      <c r="H5" s="654"/>
      <c r="I5" s="654"/>
      <c r="J5" s="402"/>
      <c r="K5" s="656"/>
      <c r="AF5" s="1744">
        <v>0</v>
      </c>
    </row>
    <row customHeight="1" ht="18.75" hidden="1">
      <c r="B6" s="2212"/>
      <c r="C6" s="1280"/>
      <c r="D6" s="1751"/>
      <c r="E6" s="659" t="str">
        <f>B2&amp;".3"</f>
        <v>.3</v>
      </c>
      <c r="F6" s="666" t="s">
        <v>644</v>
      </c>
      <c r="G6" s="1759" t="s">
        <v>643</v>
      </c>
      <c r="H6" s="654"/>
      <c r="I6" s="654"/>
      <c r="J6" s="402"/>
      <c r="K6" s="656"/>
      <c r="AF6" s="1744">
        <v>0</v>
      </c>
    </row>
    <row customHeight="1" ht="18.75" hidden="1">
      <c r="B7" s="2212"/>
      <c r="C7" s="1280"/>
      <c r="D7" s="1751"/>
      <c r="E7" s="659" t="str">
        <f>B2&amp;".4"</f>
        <v>.4</v>
      </c>
      <c r="F7" s="666" t="s">
        <v>645</v>
      </c>
      <c r="G7" s="1759" t="s">
        <v>637</v>
      </c>
      <c r="H7" s="668"/>
      <c r="I7" s="668"/>
      <c r="J7" s="402"/>
      <c r="K7" s="656"/>
      <c r="AF7" s="1744">
        <v>0</v>
      </c>
    </row>
    <row s="5467" customFormat="1" customHeight="1" ht="11.25" hidden="1">
      <c r="A8" s="1100"/>
      <c r="C8" s="1749"/>
      <c r="D8" s="650"/>
      <c r="H8" s="1273">
        <v>4</v>
      </c>
      <c r="I8" s="1273">
        <v>4</v>
      </c>
      <c r="L8" s="1749"/>
      <c r="M8" s="1749"/>
      <c r="R8" s="1749"/>
      <c r="AF8" s="1273">
        <v>0</v>
      </c>
    </row>
    <row s="5467" customFormat="1" customHeight="1" ht="22.5" hidden="1">
      <c r="A9" s="1100"/>
      <c r="C9" s="1749"/>
      <c r="D9" s="651"/>
      <c r="E9" s="1761"/>
      <c r="F9" s="653"/>
      <c r="G9" s="1759" t="s">
        <v>643</v>
      </c>
      <c r="H9" s="654"/>
      <c r="I9" s="654"/>
      <c r="J9" s="655" t="s">
        <v>646</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647</v>
      </c>
      <c r="H11" s="654"/>
      <c r="I11" s="654"/>
      <c r="J11" s="402" t="s">
        <v>648</v>
      </c>
      <c r="K11" s="656"/>
      <c r="AF11" s="1744">
        <v>0</v>
      </c>
    </row>
    <row customHeight="1" ht="11.25" hidden="1">
      <c r="AF12" s="1744">
        <v>0</v>
      </c>
    </row>
    <row customHeight="1" ht="22.5" hidden="1">
      <c r="D13" s="1751"/>
      <c r="E13" s="659"/>
      <c r="F13" s="653"/>
      <c r="G13" s="1082" t="s">
        <v>649</v>
      </c>
      <c r="H13" s="658"/>
      <c r="I13" s="658"/>
      <c r="J13" s="858" t="s">
        <v>650</v>
      </c>
      <c r="K13" s="656"/>
      <c r="AF13" s="1744">
        <v>0</v>
      </c>
    </row>
    <row customHeight="1" ht="11.25" hidden="1">
      <c r="AF14" s="1744">
        <v>0</v>
      </c>
    </row>
    <row customHeight="1" ht="22.5" hidden="1">
      <c r="D15" s="1751"/>
      <c r="E15" s="659"/>
      <c r="F15" s="653"/>
      <c r="G15" s="1759" t="s">
        <v>651</v>
      </c>
      <c r="H15" s="658"/>
      <c r="I15" s="658"/>
      <c r="J15" s="402" t="s">
        <v>652</v>
      </c>
      <c r="K15" s="656"/>
      <c r="AF15" s="1744">
        <v>0</v>
      </c>
    </row>
    <row customHeight="1" ht="11.25" hidden="1">
      <c r="AF16" s="1744">
        <v>0</v>
      </c>
    </row>
    <row customHeight="1" ht="22.5" hidden="1">
      <c r="D17" s="1751"/>
      <c r="E17" s="659"/>
      <c r="F17" s="653"/>
      <c r="G17" s="1759" t="s">
        <v>653</v>
      </c>
      <c r="H17" s="658"/>
      <c r="I17" s="658"/>
      <c r="J17" s="402" t="s">
        <v>654</v>
      </c>
      <c r="K17" s="656"/>
      <c r="AF17" s="1744">
        <v>0</v>
      </c>
    </row>
    <row customHeight="1" ht="11.25" hidden="1">
      <c r="AF18" s="1744">
        <v>0</v>
      </c>
    </row>
    <row s="5351"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61"/>
      <c r="G21" s="2361"/>
      <c r="H21" s="2361"/>
      <c r="I21" s="2361"/>
      <c r="J21" s="669"/>
      <c r="AF21" s="1744">
        <v>24</v>
      </c>
    </row>
    <row customHeight="1" ht="25.2">
      <c r="E22" s="2362" t="str">
        <f>IF(org=0,"Не определено",org)</f>
        <v>КГУП "Примтеплоэнерго"</v>
      </c>
      <c r="F22" s="2362"/>
      <c r="G22" s="2362"/>
      <c r="H22" s="2362"/>
      <c r="I22" s="2362"/>
      <c r="AF22" s="1744">
        <v>24</v>
      </c>
    </row>
    <row customHeight="1" ht="11.549999999999999">
      <c r="E23" s="1248"/>
      <c r="F23" s="1248"/>
      <c r="G23" s="1248"/>
      <c r="H23" s="1248"/>
      <c r="I23" s="1248"/>
      <c r="AF23" s="1744">
        <v>11</v>
      </c>
    </row>
    <row s="5468" customFormat="1" customHeight="1" ht="1.05">
      <c r="A24" s="1280"/>
      <c r="D24" s="1755"/>
      <c r="H24" s="1002"/>
      <c r="I24" s="1002" t="s">
        <v>149</v>
      </c>
      <c r="AF24" s="1749">
        <v>1</v>
      </c>
    </row>
    <row customHeight="1" ht="11.549999999999999">
      <c r="E25" s="824"/>
      <c r="F25" s="2480" t="s">
        <v>141</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655</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656</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393</v>
      </c>
      <c r="F28" s="2483"/>
      <c r="G28" s="2483"/>
      <c r="H28" s="1758"/>
      <c r="I28" s="1758"/>
      <c r="J28" s="2240"/>
      <c r="AF28" s="1744">
        <v>11</v>
      </c>
    </row>
    <row customHeight="1" ht="24">
      <c r="E29" s="1759" t="s">
        <v>88</v>
      </c>
      <c r="F29" s="1766" t="s">
        <v>395</v>
      </c>
      <c r="G29" s="1766" t="s">
        <v>657</v>
      </c>
      <c r="H29" s="1766" t="s">
        <v>396</v>
      </c>
      <c r="I29" s="1766" t="s">
        <v>396</v>
      </c>
      <c r="J29" s="2240"/>
      <c r="AF29" s="1744">
        <v>23</v>
      </c>
    </row>
    <row customHeight="1" ht="19.95">
      <c r="D30" s="1751"/>
      <c r="E30" s="659">
        <f>FHD_NUM_P_1</f>
        <v>1</v>
      </c>
      <c r="F30" s="1993" t="str">
        <f>FHD_P_1</f>
        <v>Выручка от регулируемых видов деятельности в сфере водоотведения</v>
      </c>
      <c r="G30" s="1991" t="s">
        <v>643</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водоотведения, включая:</v>
      </c>
      <c r="G31" s="1991" t="s">
        <v>643</v>
      </c>
      <c r="H31" s="671">
        <f>SUMIF($K33:$K71,$K31,H33:H71)</f>
        <v>0</v>
      </c>
      <c r="I31" s="671">
        <f>SUMIF($K33:$K71,$K31,I33:I71)</f>
        <v>0</v>
      </c>
      <c r="J31" s="402" t="str">
        <f>FHD_NOTE_P_2</f>
        <v>Указывается суммарная себестоимость производимых товаров.</v>
      </c>
      <c r="K31" s="1749" t="s">
        <v>658</v>
      </c>
      <c r="AF31" s="1744">
        <v>11</v>
      </c>
    </row>
    <row customHeight="1" ht="11.549999999999999">
      <c r="D32" s="1751"/>
      <c r="E32" s="659" t="str">
        <f>FHD_NUM_P_3</f>
        <v>2.1</v>
      </c>
      <c r="F32" s="1637" t="str">
        <f>FHD_P_3</f>
        <v>Расходы на оплату услуг по приему, транспортировке и очистке сточных вод другими организациями</v>
      </c>
      <c r="G32" s="1991" t="s">
        <v>643</v>
      </c>
      <c r="H32" s="670"/>
      <c r="I32" s="670"/>
      <c r="J32" s="402" t="str">
        <f>FHD_NOTE_P_3</f>
        <v/>
      </c>
      <c r="K32" s="1749" t="str">
        <f>IF((LEN(E32)-LEN(SUBSTITUTE(E32,".","")))/LEN(".")=1,"p","")</f>
        <v>p</v>
      </c>
      <c r="AF32" s="1744">
        <v>11</v>
      </c>
    </row>
    <row customHeight="1" ht="11.25" hidden="1">
      <c r="A33" s="2484" t="s">
        <v>659</v>
      </c>
      <c r="D33" s="1751"/>
      <c r="E33" s="659" t="str">
        <f>FHD_NUM_P_4</f>
        <v/>
      </c>
      <c r="F33" s="1637" t="str">
        <f>FHD_P_4</f>
        <v/>
      </c>
      <c r="G33" s="1991" t="s">
        <v>643</v>
      </c>
      <c r="H33" s="671">
        <f>SUMIF($F34:$F40,$F3,H34:H40)</f>
        <v>0</v>
      </c>
      <c r="I33" s="671">
        <f>SUMIF($F34:$F40,$F3,I34:I40)</f>
        <v>0</v>
      </c>
      <c r="J33" s="402" t="str">
        <f>FHD_NOTE_P_4</f>
        <v/>
      </c>
      <c r="K33" s="1749" t="str">
        <f>IF((LEN(E33)-LEN(SUBSTITUTE(E33,".","")))/LEN(".")=1,"p","")</f>
        <v/>
      </c>
      <c r="AF33" s="1744">
        <v>0</v>
      </c>
    </row>
    <row s="6074"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74"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74"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74"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74"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74"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67" customFormat="1" customHeight="1" ht="15" hidden="1">
      <c r="A40" s="2484"/>
      <c r="C40" s="1749"/>
      <c r="D40" s="1746"/>
      <c r="E40" s="683"/>
      <c r="F40" s="684" t="s">
        <v>660</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661</v>
      </c>
      <c r="D41" s="1751"/>
      <c r="E41" s="659" t="str">
        <f>FHD_NUM_P_5</f>
        <v/>
      </c>
      <c r="F41" s="1637" t="str">
        <f>FHD_P_5</f>
        <v/>
      </c>
      <c r="G41" s="1991" t="s">
        <v>643</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643</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643</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643</v>
      </c>
      <c r="H44" s="670"/>
      <c r="I44" s="670"/>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662</v>
      </c>
      <c r="H45" s="670"/>
      <c r="I45" s="670"/>
      <c r="J45" s="402" t="str">
        <f>FHD_NOTE_P_9</f>
        <v/>
      </c>
      <c r="K45" s="1749" t="str">
        <f>IF((LEN(E45)-LEN(SUBSTITUTE(E45,".","")))/LEN(".")=1,"p","")</f>
        <v/>
      </c>
      <c r="AF45" s="1744">
        <v>11</v>
      </c>
    </row>
    <row s="5467" customFormat="1" customHeight="1" ht="11.549999999999999">
      <c r="A46" s="1100"/>
      <c r="C46" s="1749"/>
      <c r="D46" s="687"/>
      <c r="E46" s="659" t="str">
        <f>FHD_NUM_P_10</f>
        <v>2.2.2</v>
      </c>
      <c r="F46" s="1763" t="str">
        <f>FHD_P_10</f>
        <v>Объём приобретения электрической энергии</v>
      </c>
      <c r="G46" s="1991" t="s">
        <v>663</v>
      </c>
      <c r="H46" s="670"/>
      <c r="I46" s="670"/>
      <c r="J46" s="402" t="str">
        <f>FHD_NOTE_P_10</f>
        <v/>
      </c>
      <c r="K46" s="1749" t="str">
        <f>IF((LEN(E46)-LEN(SUBSTITUTE(E46,".","")))/LEN(".")=1,"p","")</f>
        <v/>
      </c>
      <c r="L46" s="1749"/>
      <c r="M46" s="1749"/>
      <c r="R46" s="1749"/>
      <c r="U46" s="657"/>
      <c r="AA46" s="1745"/>
      <c r="AB46" s="1745"/>
      <c r="AC46" s="1745"/>
      <c r="AD46" s="1745"/>
      <c r="AE46" s="1745"/>
      <c r="AF46" s="1273">
        <v>11</v>
      </c>
    </row>
    <row s="5467" customFormat="1" customHeight="1" ht="11.25" hidden="1">
      <c r="A47" s="1102" t="s">
        <v>664</v>
      </c>
      <c r="C47" s="1749"/>
      <c r="D47" s="688"/>
      <c r="E47" s="659" t="str">
        <f>FHD_NUM_P_11</f>
        <v/>
      </c>
      <c r="F47" s="1637" t="str">
        <f>FHD_P_11</f>
        <v/>
      </c>
      <c r="G47" s="1991" t="s">
        <v>643</v>
      </c>
      <c r="H47" s="670"/>
      <c r="I47" s="670"/>
      <c r="J47" s="402" t="str">
        <f>FHD_NOTE_P_11</f>
        <v/>
      </c>
      <c r="K47" s="1749" t="str">
        <f>IF((LEN(E47)-LEN(SUBSTITUTE(E47,".","")))/LEN(".")=1,"p","")</f>
        <v/>
      </c>
      <c r="L47" s="1749"/>
      <c r="M47" s="1749"/>
      <c r="R47" s="1749"/>
      <c r="U47" s="657"/>
      <c r="AA47" s="1745"/>
      <c r="AB47" s="1745"/>
      <c r="AC47" s="1745"/>
      <c r="AD47" s="1745"/>
      <c r="AE47" s="1745"/>
      <c r="AF47" s="1273">
        <v>0</v>
      </c>
    </row>
    <row s="5467" customFormat="1" customHeight="1" ht="18.75">
      <c r="A48" s="1102" t="s">
        <v>665</v>
      </c>
      <c r="C48" s="1749"/>
      <c r="D48" s="1751"/>
      <c r="E48" s="659" t="str">
        <f>FHD_NUM_P_12</f>
        <v>2.3</v>
      </c>
      <c r="F48" s="1637" t="str">
        <f>FHD_P_12</f>
        <v>Расходы на химические реагенты, используемые в технологическом процессе</v>
      </c>
      <c r="G48" s="1991" t="s">
        <v>643</v>
      </c>
      <c r="H48" s="690"/>
      <c r="I48" s="690"/>
      <c r="J48" s="402" t="str">
        <f>FHD_NOTE_P_12</f>
        <v/>
      </c>
      <c r="K48" s="1749" t="str">
        <f>IF((LEN(E48)-LEN(SUBSTITUTE(E48,".","")))/LEN(".")=1,"p","")</f>
        <v>p</v>
      </c>
      <c r="L48" s="1749"/>
      <c r="M48" s="1749"/>
      <c r="R48" s="1749"/>
      <c r="U48" s="657"/>
      <c r="AA48" s="1745"/>
      <c r="AB48" s="1745"/>
      <c r="AC48" s="1745"/>
      <c r="AD48" s="1745"/>
      <c r="AE48" s="1745"/>
      <c r="AF48" s="1273">
        <v>18</v>
      </c>
    </row>
    <row s="9065"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643</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9065"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643</v>
      </c>
      <c r="H50" s="670"/>
      <c r="I50" s="670"/>
      <c r="J50" s="402" t="str">
        <f>FHD_NOTE_P_14</f>
        <v/>
      </c>
      <c r="K50" s="1749" t="str">
        <f>IF((LEN(E50)-LEN(SUBSTITUTE(E50,".","")))/LEN(".")=1,"p","")</f>
        <v/>
      </c>
      <c r="L50" s="843"/>
      <c r="M50" s="843"/>
      <c r="R50" s="843"/>
      <c r="U50" s="844"/>
      <c r="AA50" s="845"/>
      <c r="AB50" s="845"/>
      <c r="AC50" s="845"/>
      <c r="AD50" s="845"/>
      <c r="AE50" s="845"/>
      <c r="AF50" s="842">
        <v>11</v>
      </c>
    </row>
    <row s="9065"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643</v>
      </c>
      <c r="H51" s="670"/>
      <c r="I51" s="670"/>
      <c r="J51" s="402" t="str">
        <f>FHD_NOTE_P_15</f>
        <v/>
      </c>
      <c r="K51" s="1749" t="str">
        <f>IF((LEN(E51)-LEN(SUBSTITUTE(E51,".","")))/LEN(".")=1,"p","")</f>
        <v/>
      </c>
      <c r="L51" s="843"/>
      <c r="M51" s="843"/>
      <c r="R51" s="843"/>
      <c r="U51" s="844"/>
      <c r="AA51" s="845"/>
      <c r="AB51" s="845"/>
      <c r="AC51" s="845"/>
      <c r="AD51" s="845"/>
      <c r="AE51" s="845"/>
      <c r="AF51" s="842">
        <v>11</v>
      </c>
    </row>
    <row s="5467"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91" t="s">
        <v>643</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467"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 в том числе:</v>
      </c>
      <c r="G53" s="1991" t="s">
        <v>643</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67"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643</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67"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643</v>
      </c>
      <c r="H55" s="670"/>
      <c r="I55" s="670"/>
      <c r="J55" s="402" t="str">
        <f>FHD_NOTE_P_19</f>
        <v/>
      </c>
      <c r="K55" s="1749" t="str">
        <f>IF((LEN(E55)-LEN(SUBSTITUTE(E55,".","")))/LEN(".")=1,"p","")</f>
        <v>p</v>
      </c>
      <c r="L55" s="1749"/>
      <c r="M55" s="1749"/>
      <c r="R55" s="1749"/>
      <c r="U55" s="657"/>
      <c r="AA55" s="1745"/>
      <c r="AB55" s="1745"/>
      <c r="AC55" s="1745"/>
      <c r="AD55" s="1745"/>
      <c r="AE55" s="1745"/>
      <c r="AF55" s="1273">
        <v>11</v>
      </c>
    </row>
    <row s="5467" customFormat="1" customHeight="1" ht="11.549999999999999">
      <c r="A56" s="1100"/>
      <c r="C56" s="1749"/>
      <c r="D56" s="688"/>
      <c r="E56" s="659" t="str">
        <f>FHD_NUM_P_20</f>
        <v>2.6.1</v>
      </c>
      <c r="F56" s="1763" t="str">
        <f>FHD_P_20</f>
        <v>Расходы на амортизацию основных средств</v>
      </c>
      <c r="G56" s="1991" t="s">
        <v>643</v>
      </c>
      <c r="H56" s="670"/>
      <c r="I56" s="670"/>
      <c r="J56" s="402" t="str">
        <f>FHD_NOTE_P_20</f>
        <v/>
      </c>
      <c r="K56" s="1749" t="str">
        <f>IF((LEN(E56)-LEN(SUBSTITUTE(E56,".","")))/LEN(".")=1,"p","")</f>
        <v/>
      </c>
      <c r="L56" s="1749"/>
      <c r="M56" s="1749"/>
      <c r="R56" s="1749"/>
      <c r="U56" s="657"/>
      <c r="AA56" s="1745"/>
      <c r="AB56" s="1745"/>
      <c r="AC56" s="1745"/>
      <c r="AD56" s="1745"/>
      <c r="AE56" s="1745"/>
      <c r="AF56" s="1273">
        <v>11</v>
      </c>
    </row>
    <row s="5467" customFormat="1" customHeight="1" ht="11.549999999999999">
      <c r="A57" s="1100"/>
      <c r="C57" s="1749"/>
      <c r="D57" s="688"/>
      <c r="E57" s="659" t="str">
        <f>FHD_NUM_P_21</f>
        <v>2.6.2</v>
      </c>
      <c r="F57" s="1763" t="str">
        <f>FHD_P_21</f>
        <v>Расходы на амортизацию нематериальных активов</v>
      </c>
      <c r="G57" s="1991" t="s">
        <v>643</v>
      </c>
      <c r="H57" s="670"/>
      <c r="I57" s="670"/>
      <c r="J57" s="402" t="str">
        <f>FHD_NOTE_P_21</f>
        <v/>
      </c>
      <c r="K57" s="1749" t="str">
        <f>IF((LEN(E57)-LEN(SUBSTITUTE(E57,".","")))/LEN(".")=1,"p","")</f>
        <v/>
      </c>
      <c r="L57" s="1749"/>
      <c r="M57" s="1749"/>
      <c r="R57" s="1749"/>
      <c r="U57" s="657"/>
      <c r="AA57" s="1745"/>
      <c r="AB57" s="1745"/>
      <c r="AC57" s="1745"/>
      <c r="AD57" s="1745"/>
      <c r="AE57" s="1745"/>
      <c r="AF57" s="1273">
        <v>11</v>
      </c>
    </row>
    <row s="5467"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водоотведения</v>
      </c>
      <c r="G58" s="1991" t="s">
        <v>643</v>
      </c>
      <c r="H58" s="670"/>
      <c r="I58" s="670"/>
      <c r="J58" s="402" t="str">
        <f>FHD_NOTE_P_22</f>
        <v/>
      </c>
      <c r="K58" s="1749" t="str">
        <f>IF((LEN(E58)-LEN(SUBSTITUTE(E58,".","")))/LEN(".")=1,"p","")</f>
        <v>p</v>
      </c>
      <c r="L58" s="1749"/>
      <c r="M58" s="1749"/>
      <c r="R58" s="1749"/>
      <c r="U58" s="657"/>
      <c r="AA58" s="1745"/>
      <c r="AB58" s="1745"/>
      <c r="AC58" s="1745"/>
      <c r="AD58" s="1745"/>
      <c r="AE58" s="1745"/>
      <c r="AF58" s="1273">
        <v>11</v>
      </c>
    </row>
    <row s="5467" customFormat="1" customHeight="1" ht="11.549999999999999">
      <c r="A59" s="1100"/>
      <c r="C59" s="1749"/>
      <c r="D59" s="688"/>
      <c r="E59" s="659" t="str">
        <f>FHD_NUM_P_23</f>
        <v>2.8</v>
      </c>
      <c r="F59" s="1637" t="str">
        <f>FHD_P_23</f>
        <v>Общепроизводственные расходы, в том числе:</v>
      </c>
      <c r="G59" s="1991" t="s">
        <v>643</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67" customFormat="1" customHeight="1" ht="11.549999999999999">
      <c r="A60" s="1100"/>
      <c r="C60" s="1749"/>
      <c r="D60" s="688"/>
      <c r="E60" s="659" t="str">
        <f>FHD_NUM_P_24</f>
        <v>2.8.1</v>
      </c>
      <c r="F60" s="1763" t="str">
        <f>FHD_P_24</f>
        <v>Расходы на текущий ремонт</v>
      </c>
      <c r="G60" s="1991" t="s">
        <v>643</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67" customFormat="1" customHeight="1" ht="11.549999999999999">
      <c r="A61" s="1100"/>
      <c r="C61" s="1749"/>
      <c r="D61" s="688"/>
      <c r="E61" s="659" t="str">
        <f>FHD_NUM_P_25</f>
        <v>2.8.2</v>
      </c>
      <c r="F61" s="1763" t="str">
        <f>FHD_P_25</f>
        <v>Расходы на капитальный ремонт</v>
      </c>
      <c r="G61" s="1991" t="s">
        <v>643</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67" customFormat="1" customHeight="1" ht="11.549999999999999">
      <c r="A62" s="1100"/>
      <c r="C62" s="1749"/>
      <c r="D62" s="1751"/>
      <c r="E62" s="659" t="str">
        <f>FHD_NUM_P_26</f>
        <v>2.9</v>
      </c>
      <c r="F62" s="1637" t="str">
        <f>FHD_P_26</f>
        <v>Общехозяйственные расходы, в том числе:</v>
      </c>
      <c r="G62" s="1991" t="s">
        <v>643</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67" customFormat="1" customHeight="1" ht="11.549999999999999">
      <c r="A63" s="1100"/>
      <c r="C63" s="1749"/>
      <c r="D63" s="1751"/>
      <c r="E63" s="659" t="str">
        <f>FHD_NUM_P_27</f>
        <v>2.9.1</v>
      </c>
      <c r="F63" s="1763" t="str">
        <f>FHD_P_27</f>
        <v>Расходы на текущий ремонт</v>
      </c>
      <c r="G63" s="1991" t="s">
        <v>643</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67" customFormat="1" customHeight="1" ht="11.549999999999999">
      <c r="A64" s="1100"/>
      <c r="C64" s="1749"/>
      <c r="D64" s="1751"/>
      <c r="E64" s="659" t="str">
        <f>FHD_NUM_P_28</f>
        <v>2.9.2</v>
      </c>
      <c r="F64" s="1763" t="str">
        <f>FHD_P_28</f>
        <v>Расходы на капитальный ремонт</v>
      </c>
      <c r="G64" s="1991" t="s">
        <v>643</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67"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643</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67"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399</v>
      </c>
      <c r="H66" s="1762" t="s">
        <v>666</v>
      </c>
      <c r="I66" s="1762" t="s">
        <v>666</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67" customFormat="1" customHeight="1" ht="23.25">
      <c r="A67" s="2484" t="s">
        <v>667</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1" t="s">
        <v>643</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467"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399</v>
      </c>
      <c r="H68" s="1762" t="s">
        <v>666</v>
      </c>
      <c r="I68" s="1762" t="s">
        <v>666</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67"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92" t="s">
        <v>643</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468" customFormat="1" customHeight="1" ht="1.05">
      <c r="A70" s="1280"/>
      <c r="D70" s="661"/>
      <c r="E70" s="1126" t="str">
        <f>E69&amp;".0"</f>
        <v>2.12.0</v>
      </c>
      <c r="F70" s="1104"/>
      <c r="G70" s="1126"/>
      <c r="H70" s="1105"/>
      <c r="I70" s="1105"/>
      <c r="J70" s="1106"/>
      <c r="K70" s="1749" t="str">
        <f>IF((LEN(E70)-LEN(SUBSTITUTE(E70,".","")))/LEN(".")=1,"p","")</f>
        <v/>
      </c>
      <c r="AF70" s="1749">
        <v>1</v>
      </c>
    </row>
    <row s="5467" customFormat="1" customHeight="1" ht="14.699999999999998">
      <c r="A71" s="1100"/>
      <c r="C71" s="1749"/>
      <c r="D71" s="1746"/>
      <c r="E71" s="683"/>
      <c r="F71" s="684" t="s">
        <v>668</v>
      </c>
      <c r="G71" s="685"/>
      <c r="H71" s="686"/>
      <c r="I71" s="686"/>
      <c r="J71" s="414"/>
      <c r="K71" s="1749"/>
      <c r="L71" s="1749"/>
      <c r="M71" s="1749"/>
      <c r="R71" s="1749"/>
      <c r="U71" s="657"/>
      <c r="AA71" s="1745"/>
      <c r="AB71" s="1745"/>
      <c r="AC71" s="1745"/>
      <c r="AD71" s="1745"/>
      <c r="AE71" s="1745"/>
      <c r="AF71" s="1273">
        <v>14</v>
      </c>
    </row>
    <row s="5467" customFormat="1" customHeight="1" ht="18.75" hidden="1">
      <c r="A72" s="1102" t="s">
        <v>669</v>
      </c>
      <c r="C72" s="1749"/>
      <c r="D72" s="1751"/>
      <c r="E72" s="659" t="str">
        <f>FHD_NUM_P_34</f>
        <v/>
      </c>
      <c r="F72" s="1993" t="str">
        <f>FHD_P_34</f>
        <v/>
      </c>
      <c r="G72" s="1991" t="s">
        <v>643</v>
      </c>
      <c r="H72" s="670"/>
      <c r="I72" s="670"/>
      <c r="J72" s="402" t="str">
        <f>FHD_NOTE_P_34</f>
        <v/>
      </c>
      <c r="K72" s="656"/>
      <c r="L72" s="1749"/>
      <c r="M72" s="1749"/>
      <c r="R72" s="1749"/>
      <c r="U72" s="657"/>
      <c r="AA72" s="1745"/>
      <c r="AB72" s="1745"/>
      <c r="AC72" s="1745"/>
      <c r="AD72" s="1745"/>
      <c r="AE72" s="1745"/>
      <c r="AF72" s="1273">
        <v>0</v>
      </c>
    </row>
    <row s="5467" customFormat="1" customHeight="1" ht="19.95">
      <c r="A73" s="1100"/>
      <c r="C73" s="1749"/>
      <c r="D73" s="688"/>
      <c r="E73" s="659" t="str">
        <f>FHD_NUM_P_35</f>
        <v>3</v>
      </c>
      <c r="F73" s="1993" t="str">
        <f>FHD_P_35</f>
        <v>Чистая прибыль, полученная от регулируемого вида деятельности в сфере водоотведения, в том числе:</v>
      </c>
      <c r="G73" s="1991" t="s">
        <v>643</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67"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643</v>
      </c>
      <c r="H74" s="670"/>
      <c r="I74" s="670"/>
      <c r="J74" s="402" t="str">
        <f>FHD_NOTE_P_36</f>
        <v/>
      </c>
      <c r="K74" s="656"/>
      <c r="L74" s="1749"/>
      <c r="M74" s="1749"/>
      <c r="R74" s="1749"/>
      <c r="U74" s="657"/>
      <c r="AA74" s="1745"/>
      <c r="AB74" s="1745"/>
      <c r="AC74" s="1745"/>
      <c r="AD74" s="1745"/>
      <c r="AE74" s="1745"/>
      <c r="AF74" s="1273">
        <v>19</v>
      </c>
    </row>
    <row s="5467" customFormat="1" customHeight="1" ht="19.95">
      <c r="A75" s="1100"/>
      <c r="C75" s="1749"/>
      <c r="D75" s="1751"/>
      <c r="E75" s="659" t="str">
        <f>FHD_NUM_P_37</f>
        <v>4</v>
      </c>
      <c r="F75" s="1993" t="str">
        <f>FHD_P_37</f>
        <v>Изменение стоимости основных фондов, в том числе:</v>
      </c>
      <c r="G75" s="1991" t="s">
        <v>643</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67"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643</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67"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643</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67"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643</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67" customFormat="1" customHeight="1" ht="19.95">
      <c r="A79" s="1100"/>
      <c r="C79" s="1749"/>
      <c r="D79" s="1751"/>
      <c r="E79" s="659" t="str">
        <f>FHD_NUM_P_41</f>
        <v>4.2</v>
      </c>
      <c r="F79" s="2188" t="str">
        <f>FHD_P_41</f>
        <v>Изменение стоимости основных фондов за счет их переоценки</v>
      </c>
      <c r="G79" s="2184" t="s">
        <v>643</v>
      </c>
      <c r="H79" s="1089"/>
      <c r="I79" s="670"/>
      <c r="J79" s="402" t="str">
        <f>FHD_NOTE_P_41</f>
        <v/>
      </c>
      <c r="K79" s="656"/>
      <c r="L79" s="1749"/>
      <c r="M79" s="1749"/>
      <c r="R79" s="1749"/>
      <c r="U79" s="657"/>
      <c r="AA79" s="1745"/>
      <c r="AB79" s="1745"/>
      <c r="AC79" s="1745"/>
      <c r="AD79" s="1745"/>
      <c r="AE79" s="1745"/>
      <c r="AF79" s="1273">
        <v>19</v>
      </c>
    </row>
    <row s="5467" customFormat="1" customHeight="1" ht="19.95">
      <c r="A80" s="1102" t="s">
        <v>670</v>
      </c>
      <c r="C80" s="1749"/>
      <c r="D80" s="1751"/>
      <c r="E80" s="659" t="str">
        <f>FHD_NUM_P_42</f>
        <v>5</v>
      </c>
      <c r="F80" s="2186" t="str">
        <f>FHD_P_42</f>
        <v>Валовая прибыль (убытки) от продажи товаров и услуг по регулируемым видам деятельности в сфере водоотведения</v>
      </c>
      <c r="G80" s="2184" t="s">
        <v>643</v>
      </c>
      <c r="H80" s="1089"/>
      <c r="I80" s="670"/>
      <c r="J80" s="402" t="str">
        <f>FHD_NOTE_P_42</f>
        <v/>
      </c>
      <c r="K80" s="656"/>
      <c r="L80" s="1749"/>
      <c r="M80" s="1749"/>
      <c r="R80" s="1749"/>
      <c r="U80" s="657"/>
      <c r="AA80" s="1745"/>
      <c r="AB80" s="1745"/>
      <c r="AC80" s="1745"/>
      <c r="AD80" s="1745"/>
      <c r="AE80" s="1745"/>
      <c r="AF80" s="1273">
        <v>19</v>
      </c>
    </row>
    <row s="5467"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399</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467" customFormat="1" customHeight="1" ht="18.75" hidden="1">
      <c r="A82" s="2484" t="s">
        <v>671</v>
      </c>
      <c r="C82" s="848"/>
      <c r="D82" s="846"/>
      <c r="E82" s="659" t="str">
        <f>FHD_NUM_P_44</f>
        <v/>
      </c>
      <c r="F82" s="1993" t="str">
        <f>FHD_P_44</f>
        <v/>
      </c>
      <c r="G82" s="1994" t="s">
        <v>672</v>
      </c>
      <c r="H82" s="1090"/>
      <c r="I82" s="690"/>
      <c r="J82" s="402" t="str">
        <f>FHD_NOTE_P_44</f>
        <v/>
      </c>
      <c r="K82" s="847"/>
      <c r="L82" s="848"/>
      <c r="M82" s="848"/>
      <c r="R82" s="848"/>
      <c r="U82" s="849"/>
      <c r="AA82" s="850"/>
      <c r="AB82" s="850"/>
      <c r="AC82" s="850"/>
      <c r="AD82" s="850"/>
      <c r="AE82" s="850"/>
      <c r="AF82" s="1023">
        <v>0</v>
      </c>
    </row>
    <row s="5467" customFormat="1" customHeight="1" ht="18.75" hidden="1">
      <c r="A83" s="2484"/>
      <c r="C83" s="848"/>
      <c r="D83" s="846"/>
      <c r="E83" s="659" t="str">
        <f>FHD_NUM_P_45</f>
        <v/>
      </c>
      <c r="F83" s="1993" t="str">
        <f>FHD_P_45</f>
        <v/>
      </c>
      <c r="G83" s="1994" t="s">
        <v>672</v>
      </c>
      <c r="H83" s="1090"/>
      <c r="I83" s="690"/>
      <c r="J83" s="402" t="str">
        <f>FHD_NOTE_P_45</f>
        <v/>
      </c>
      <c r="K83" s="847"/>
      <c r="L83" s="848"/>
      <c r="M83" s="848"/>
      <c r="R83" s="848"/>
      <c r="U83" s="849"/>
      <c r="AA83" s="850"/>
      <c r="AB83" s="850"/>
      <c r="AC83" s="850"/>
      <c r="AD83" s="850"/>
      <c r="AE83" s="850"/>
      <c r="AF83" s="1023">
        <v>0</v>
      </c>
    </row>
    <row s="5467" customFormat="1" customHeight="1" ht="18.75" hidden="1">
      <c r="A84" s="2484"/>
      <c r="C84" s="848"/>
      <c r="D84" s="851"/>
      <c r="E84" s="659" t="str">
        <f>FHD_NUM_P_46</f>
        <v/>
      </c>
      <c r="F84" s="1993" t="str">
        <f>FHD_P_46</f>
        <v/>
      </c>
      <c r="G84" s="1994" t="s">
        <v>672</v>
      </c>
      <c r="H84" s="1090"/>
      <c r="I84" s="690"/>
      <c r="J84" s="402" t="str">
        <f>FHD_NOTE_P_46</f>
        <v/>
      </c>
      <c r="K84" s="847"/>
      <c r="L84" s="848"/>
      <c r="M84" s="848"/>
      <c r="R84" s="848"/>
      <c r="U84" s="849"/>
      <c r="AA84" s="850"/>
      <c r="AB84" s="850"/>
      <c r="AC84" s="850"/>
      <c r="AD84" s="850"/>
      <c r="AE84" s="850"/>
      <c r="AF84" s="1023">
        <v>0</v>
      </c>
    </row>
    <row s="5467" customFormat="1" customHeight="1" ht="18.75" hidden="1">
      <c r="A85" s="2484"/>
      <c r="C85" s="848"/>
      <c r="D85" s="846"/>
      <c r="E85" s="659" t="str">
        <f>FHD_NUM_P_47</f>
        <v/>
      </c>
      <c r="F85" s="1993" t="str">
        <f>FHD_P_47</f>
        <v/>
      </c>
      <c r="G85" s="1994" t="s">
        <v>672</v>
      </c>
      <c r="H85" s="1090"/>
      <c r="I85" s="690"/>
      <c r="J85" s="402" t="str">
        <f>FHD_NOTE_P_47</f>
        <v/>
      </c>
      <c r="K85" s="847"/>
      <c r="L85" s="848"/>
      <c r="M85" s="848"/>
      <c r="R85" s="848"/>
      <c r="U85" s="849"/>
      <c r="AA85" s="850"/>
      <c r="AB85" s="850"/>
      <c r="AC85" s="850"/>
      <c r="AD85" s="850"/>
      <c r="AE85" s="850"/>
      <c r="AF85" s="1023">
        <v>0</v>
      </c>
    </row>
    <row s="5387" customFormat="1" customHeight="1" ht="18.75" hidden="1">
      <c r="A86" s="2484"/>
      <c r="B86" s="1023"/>
      <c r="C86" s="848"/>
      <c r="D86" s="846"/>
      <c r="E86" s="659" t="str">
        <f>FHD_NUM_P_48</f>
        <v/>
      </c>
      <c r="F86" s="1993" t="str">
        <f>FHD_P_48</f>
        <v/>
      </c>
      <c r="G86" s="1994" t="s">
        <v>672</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7" customFormat="1" customHeight="1" ht="18.75" hidden="1">
      <c r="A87" s="2484"/>
      <c r="B87" s="1023"/>
      <c r="C87" s="848"/>
      <c r="D87" s="846"/>
      <c r="E87" s="659" t="str">
        <f>FHD_NUM_P_49</f>
        <v/>
      </c>
      <c r="F87" s="1993" t="str">
        <f>FHD_P_49</f>
        <v/>
      </c>
      <c r="G87" s="1994" t="s">
        <v>672</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7" customFormat="1" customHeight="1" ht="18.75" hidden="1">
      <c r="A88" s="2484"/>
      <c r="B88" s="1023"/>
      <c r="C88" s="848"/>
      <c r="D88" s="846"/>
      <c r="E88" s="659" t="str">
        <f>FHD_NUM_P_50</f>
        <v/>
      </c>
      <c r="F88" s="1993" t="str">
        <f>FHD_P_50</f>
        <v/>
      </c>
      <c r="G88" s="1994" t="s">
        <v>672</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7" customFormat="1" customHeight="1" ht="18.75" hidden="1">
      <c r="A89" s="2484"/>
      <c r="B89" s="1023"/>
      <c r="C89" s="848"/>
      <c r="D89" s="846"/>
      <c r="E89" s="659" t="str">
        <f>FHD_NUM_P_51</f>
        <v/>
      </c>
      <c r="F89" s="1993" t="str">
        <f>FHD_P_51</f>
        <v/>
      </c>
      <c r="G89" s="1994" t="s">
        <v>672</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7" customFormat="1" customHeight="1" ht="18.75" hidden="1">
      <c r="A90" s="2484"/>
      <c r="B90" s="1023"/>
      <c r="C90" s="848"/>
      <c r="D90" s="846"/>
      <c r="E90" s="659" t="str">
        <f>FHD_NUM_P_52</f>
        <v/>
      </c>
      <c r="F90" s="1993" t="str">
        <f>FHD_P_52</f>
        <v/>
      </c>
      <c r="G90" s="1994" t="s">
        <v>649</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67" customFormat="1" customHeight="1" ht="18.75" hidden="1">
      <c r="A91" s="2486" t="s">
        <v>673</v>
      </c>
      <c r="C91" s="848"/>
      <c r="D91" s="846"/>
      <c r="E91" s="659" t="str">
        <f>FHD_NUM_P_53</f>
        <v/>
      </c>
      <c r="F91" s="1993" t="str">
        <f>FHD_P_53</f>
        <v/>
      </c>
      <c r="G91" s="1994" t="s">
        <v>672</v>
      </c>
      <c r="H91" s="1090"/>
      <c r="I91" s="690"/>
      <c r="J91" s="402" t="str">
        <f>FHD_NOTE_P_53</f>
        <v/>
      </c>
      <c r="K91" s="847"/>
      <c r="L91" s="848"/>
      <c r="M91" s="848"/>
      <c r="R91" s="848"/>
      <c r="U91" s="849"/>
      <c r="AA91" s="850"/>
      <c r="AB91" s="850"/>
      <c r="AC91" s="850"/>
      <c r="AD91" s="850"/>
      <c r="AE91" s="850"/>
      <c r="AF91" s="1023">
        <v>0</v>
      </c>
    </row>
    <row s="5467" customFormat="1" customHeight="1" ht="18.75" hidden="1">
      <c r="A92" s="2486"/>
      <c r="C92" s="848"/>
      <c r="D92" s="846"/>
      <c r="E92" s="659" t="str">
        <f>FHD_NUM_P_54</f>
        <v/>
      </c>
      <c r="F92" s="1993" t="str">
        <f>FHD_P_54</f>
        <v/>
      </c>
      <c r="G92" s="1994" t="s">
        <v>672</v>
      </c>
      <c r="H92" s="1090"/>
      <c r="I92" s="690"/>
      <c r="J92" s="402" t="str">
        <f>FHD_NOTE_P_54</f>
        <v/>
      </c>
      <c r="K92" s="847"/>
      <c r="L92" s="848"/>
      <c r="M92" s="848"/>
      <c r="R92" s="848"/>
      <c r="U92" s="849"/>
      <c r="AA92" s="850"/>
      <c r="AB92" s="850"/>
      <c r="AC92" s="850"/>
      <c r="AD92" s="850"/>
      <c r="AE92" s="850"/>
      <c r="AF92" s="1023">
        <v>0</v>
      </c>
    </row>
    <row s="5467"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67" customFormat="1" customHeight="1" ht="18.75" hidden="1">
      <c r="A94" s="2486"/>
      <c r="C94" s="848"/>
      <c r="D94" s="846"/>
      <c r="E94" s="659" t="str">
        <f>FHD_NUM_P_56</f>
        <v/>
      </c>
      <c r="F94" s="1993" t="str">
        <f>FHD_P_56</f>
        <v/>
      </c>
      <c r="G94" s="1994" t="s">
        <v>674</v>
      </c>
      <c r="H94" s="1090"/>
      <c r="I94" s="690"/>
      <c r="J94" s="402" t="str">
        <f>FHD_NOTE_P_56</f>
        <v/>
      </c>
      <c r="K94" s="847"/>
      <c r="L94" s="848"/>
      <c r="M94" s="848"/>
      <c r="R94" s="848"/>
      <c r="U94" s="849"/>
      <c r="AA94" s="850"/>
      <c r="AB94" s="850"/>
      <c r="AC94" s="850"/>
      <c r="AD94" s="850"/>
      <c r="AE94" s="850"/>
      <c r="AF94" s="1023">
        <v>0</v>
      </c>
    </row>
    <row s="5387" customFormat="1" customHeight="1" ht="18.75" hidden="1">
      <c r="A95" s="2486"/>
      <c r="B95" s="1023"/>
      <c r="C95" s="848"/>
      <c r="D95" s="846"/>
      <c r="E95" s="659" t="str">
        <f>FHD_NUM_P_57</f>
        <v/>
      </c>
      <c r="F95" s="1993" t="str">
        <f>FHD_P_57</f>
        <v/>
      </c>
      <c r="G95" s="1994" t="s">
        <v>649</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c r="A96" s="2484" t="s">
        <v>675</v>
      </c>
      <c r="D96" s="1751"/>
      <c r="E96" s="659" t="str">
        <f>FHD_NUM_P_58</f>
        <v>7</v>
      </c>
      <c r="F96" s="1993" t="str">
        <f>FHD_P_58</f>
        <v>Объём сточных вод, принятых от потребителей</v>
      </c>
      <c r="G96" s="1994" t="s">
        <v>672</v>
      </c>
      <c r="H96" s="1090"/>
      <c r="I96" s="690"/>
      <c r="J96" s="402" t="str">
        <f>FHD_NOTE_P_58</f>
        <v/>
      </c>
      <c r="K96" s="656"/>
      <c r="AF96" s="1744">
        <v>0</v>
      </c>
    </row>
    <row customHeight="1" ht="18.75">
      <c r="A97" s="2484"/>
      <c r="D97" s="1751"/>
      <c r="E97" s="659" t="str">
        <f>FHD_NUM_P_59</f>
        <v>8</v>
      </c>
      <c r="F97" s="1993" t="str">
        <f>FHD_P_59</f>
        <v>Объём сточных вод, принятых от других регулируемых организаций, осуществляющих водоотведение и (или) очистку сточных вод</v>
      </c>
      <c r="G97" s="1994" t="s">
        <v>672</v>
      </c>
      <c r="H97" s="1090"/>
      <c r="I97" s="690"/>
      <c r="J97" s="402" t="str">
        <f>FHD_NOTE_P_59</f>
        <v/>
      </c>
      <c r="K97" s="656"/>
      <c r="AF97" s="1744">
        <v>0</v>
      </c>
    </row>
    <row customHeight="1" ht="18.75">
      <c r="A98" s="2484"/>
      <c r="D98" s="1751"/>
      <c r="E98" s="659" t="str">
        <f>FHD_NUM_P_60</f>
        <v>9</v>
      </c>
      <c r="F98" s="1993" t="str">
        <f>FHD_P_60</f>
        <v>Объём сточных вод, пропущенных через очистные сооружения</v>
      </c>
      <c r="G98" s="1994" t="s">
        <v>672</v>
      </c>
      <c r="H98" s="1090"/>
      <c r="I98" s="690"/>
      <c r="J98" s="402" t="str">
        <f>FHD_NOTE_P_60</f>
        <v/>
      </c>
      <c r="K98" s="656"/>
      <c r="AF98" s="1744">
        <v>0</v>
      </c>
    </row>
    <row s="5467" customFormat="1" customHeight="1" ht="18.75" hidden="1">
      <c r="A99" s="2484" t="s">
        <v>676</v>
      </c>
      <c r="C99" s="1749"/>
      <c r="D99" s="1751"/>
      <c r="E99" s="659" t="str">
        <f>FHD_NUM_P_61</f>
        <v/>
      </c>
      <c r="F99" s="1993" t="str">
        <f>FHD_P_61</f>
        <v/>
      </c>
      <c r="G99" s="1991" t="s">
        <v>647</v>
      </c>
      <c r="H99" s="1092"/>
      <c r="I99" s="855"/>
      <c r="J99" s="402" t="str">
        <f>FHD_NOTE_P_61</f>
        <v/>
      </c>
      <c r="K99" s="656"/>
      <c r="L99" s="1749"/>
      <c r="M99" s="1749"/>
      <c r="R99" s="1749"/>
      <c r="U99" s="657"/>
      <c r="AA99" s="1745"/>
      <c r="AB99" s="1745"/>
      <c r="AC99" s="1745"/>
      <c r="AD99" s="1745"/>
      <c r="AE99" s="1745"/>
      <c r="AF99" s="1273">
        <v>0</v>
      </c>
    </row>
    <row s="5468"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677</v>
      </c>
      <c r="G101" s="685"/>
      <c r="H101" s="686"/>
      <c r="I101" s="686"/>
      <c r="J101" s="1117" t="s">
        <v>678</v>
      </c>
      <c r="K101" s="656"/>
      <c r="AF101" s="1744">
        <v>0</v>
      </c>
    </row>
    <row s="5467" customFormat="1" customHeight="1" ht="18.75" hidden="1">
      <c r="A102" s="2484"/>
      <c r="C102" s="1749"/>
      <c r="D102" s="1751"/>
      <c r="E102" s="659" t="str">
        <f>FHD_NUM_P_62</f>
        <v/>
      </c>
      <c r="F102" s="1993" t="str">
        <f>FHD_P_62</f>
        <v/>
      </c>
      <c r="G102" s="1990" t="s">
        <v>647</v>
      </c>
      <c r="H102" s="670"/>
      <c r="I102" s="670"/>
      <c r="J102" s="402" t="str">
        <f>FHD_NOTE_P_62</f>
        <v/>
      </c>
      <c r="K102" s="656"/>
      <c r="L102" s="1749"/>
      <c r="M102" s="1749"/>
      <c r="R102" s="1749"/>
      <c r="U102" s="657"/>
      <c r="AA102" s="1745"/>
      <c r="AB102" s="1745"/>
      <c r="AC102" s="1745"/>
      <c r="AD102" s="1745"/>
      <c r="AE102" s="1745"/>
      <c r="AF102" s="1273">
        <v>0</v>
      </c>
    </row>
    <row s="5467" customFormat="1" customHeight="1" ht="18.75" hidden="1">
      <c r="A103" s="2484"/>
      <c r="C103" s="1749"/>
      <c r="D103" s="1751"/>
      <c r="E103" s="659" t="str">
        <f>FHD_NUM_P_63</f>
        <v/>
      </c>
      <c r="F103" s="1993" t="str">
        <f>FHD_P_63</f>
        <v/>
      </c>
      <c r="G103" s="1990" t="s">
        <v>674</v>
      </c>
      <c r="H103" s="690"/>
      <c r="I103" s="690"/>
      <c r="J103" s="402" t="str">
        <f>FHD_NOTE_P_63</f>
        <v/>
      </c>
      <c r="K103" s="656"/>
      <c r="L103" s="1749"/>
      <c r="M103" s="1749"/>
      <c r="R103" s="1749"/>
      <c r="U103" s="657"/>
      <c r="AA103" s="1745"/>
      <c r="AB103" s="1745"/>
      <c r="AC103" s="1745"/>
      <c r="AD103" s="1745"/>
      <c r="AE103" s="1745"/>
      <c r="AF103" s="1273">
        <v>0</v>
      </c>
    </row>
    <row s="5467" customFormat="1" customHeight="1" ht="18.75" hidden="1">
      <c r="A104" s="2484"/>
      <c r="C104" s="1749" t="s">
        <v>679</v>
      </c>
      <c r="D104" s="1751"/>
      <c r="E104" s="659" t="str">
        <f>FHD_NUM_P_64</f>
        <v/>
      </c>
      <c r="F104" s="1993" t="str">
        <f>FHD_P_64</f>
        <v/>
      </c>
      <c r="G104" s="1990" t="s">
        <v>674</v>
      </c>
      <c r="H104" s="658"/>
      <c r="I104" s="658"/>
      <c r="J104" s="402" t="str">
        <f>FHD_NOTE_P_64</f>
        <v/>
      </c>
      <c r="K104" s="656"/>
      <c r="L104" s="1749"/>
      <c r="M104" s="1749"/>
      <c r="R104" s="1749"/>
      <c r="U104" s="657"/>
      <c r="AA104" s="1745"/>
      <c r="AB104" s="1745"/>
      <c r="AC104" s="1745"/>
      <c r="AD104" s="1745"/>
      <c r="AE104" s="1745"/>
      <c r="AF104" s="1273">
        <v>0</v>
      </c>
    </row>
    <row s="5467" customFormat="1" customHeight="1" ht="18.75" hidden="1">
      <c r="A105" s="2484"/>
      <c r="C105" s="1749"/>
      <c r="D105" s="1751"/>
      <c r="E105" s="659" t="str">
        <f>FHD_NUM_P_65</f>
        <v/>
      </c>
      <c r="F105" s="1993" t="str">
        <f>FHD_P_65</f>
        <v/>
      </c>
      <c r="G105" s="1990" t="s">
        <v>674</v>
      </c>
      <c r="H105" s="690"/>
      <c r="I105" s="690"/>
      <c r="J105" s="402" t="str">
        <f>FHD_NOTE_P_65</f>
        <v/>
      </c>
      <c r="K105" s="656"/>
      <c r="L105" s="1749"/>
      <c r="M105" s="1749"/>
      <c r="R105" s="1749"/>
      <c r="U105" s="657"/>
      <c r="AA105" s="1745"/>
      <c r="AB105" s="1745"/>
      <c r="AC105" s="1745"/>
      <c r="AD105" s="1745"/>
      <c r="AE105" s="1745"/>
      <c r="AF105" s="1273">
        <v>0</v>
      </c>
    </row>
    <row s="5467" customFormat="1" customHeight="1" ht="18.75" hidden="1">
      <c r="A106" s="2484"/>
      <c r="C106" s="1749"/>
      <c r="D106" s="1751"/>
      <c r="E106" s="659" t="str">
        <f>FHD_NUM_P_66</f>
        <v/>
      </c>
      <c r="F106" s="1637" t="str">
        <f>FHD_P_66</f>
        <v/>
      </c>
      <c r="G106" s="1990" t="s">
        <v>674</v>
      </c>
      <c r="H106" s="690"/>
      <c r="I106" s="690"/>
      <c r="J106" s="402" t="str">
        <f>FHD_NOTE_P_66</f>
        <v/>
      </c>
      <c r="K106" s="656"/>
      <c r="L106" s="1749"/>
      <c r="M106" s="1749"/>
      <c r="R106" s="1749"/>
      <c r="U106" s="657"/>
      <c r="AA106" s="1745"/>
      <c r="AB106" s="1745"/>
      <c r="AC106" s="1745"/>
      <c r="AD106" s="1745"/>
      <c r="AE106" s="1745"/>
      <c r="AF106" s="1273">
        <v>0</v>
      </c>
    </row>
    <row s="5467" customFormat="1" customHeight="1" ht="18.75" hidden="1">
      <c r="A107" s="2484"/>
      <c r="C107" s="1749"/>
      <c r="D107" s="1751"/>
      <c r="E107" s="659" t="str">
        <f>FHD_NUM_P_67</f>
        <v/>
      </c>
      <c r="F107" s="1763" t="str">
        <f>FHD_P_67</f>
        <v/>
      </c>
      <c r="G107" s="1990" t="s">
        <v>674</v>
      </c>
      <c r="H107" s="690"/>
      <c r="I107" s="690"/>
      <c r="J107" s="402" t="str">
        <f>FHD_NOTE_P_67</f>
        <v/>
      </c>
      <c r="K107" s="656"/>
      <c r="L107" s="1749"/>
      <c r="M107" s="1749"/>
      <c r="R107" s="1749"/>
      <c r="U107" s="657"/>
      <c r="AA107" s="1745"/>
      <c r="AB107" s="1745"/>
      <c r="AC107" s="1745"/>
      <c r="AD107" s="1745"/>
      <c r="AE107" s="1745"/>
      <c r="AF107" s="1273">
        <v>0</v>
      </c>
    </row>
    <row s="5467" customFormat="1" customHeight="1" ht="18.75" hidden="1">
      <c r="A108" s="2484"/>
      <c r="C108" s="1749"/>
      <c r="D108" s="1751"/>
      <c r="E108" s="659" t="str">
        <f>FHD_NUM_P_68</f>
        <v/>
      </c>
      <c r="F108" s="1637" t="str">
        <f>FHD_P_68</f>
        <v/>
      </c>
      <c r="G108" s="1990" t="s">
        <v>674</v>
      </c>
      <c r="H108" s="690"/>
      <c r="I108" s="690"/>
      <c r="J108" s="402" t="str">
        <f>FHD_NOTE_P_68</f>
        <v/>
      </c>
      <c r="K108" s="656"/>
      <c r="L108" s="1749"/>
      <c r="M108" s="1749"/>
      <c r="R108" s="1749"/>
      <c r="U108" s="657"/>
      <c r="AA108" s="1745"/>
      <c r="AB108" s="1745"/>
      <c r="AC108" s="1745"/>
      <c r="AD108" s="1745"/>
      <c r="AE108" s="1745"/>
      <c r="AF108" s="1273">
        <v>0</v>
      </c>
    </row>
    <row s="5467" customFormat="1" customHeight="1" ht="18.75" hidden="1">
      <c r="A109" s="2484"/>
      <c r="C109" s="1749"/>
      <c r="D109" s="1751"/>
      <c r="E109" s="659" t="str">
        <f>FHD_NUM_P_69</f>
        <v/>
      </c>
      <c r="F109" s="1637" t="str">
        <f>FHD_P_69</f>
        <v/>
      </c>
      <c r="G109" s="1990" t="s">
        <v>674</v>
      </c>
      <c r="H109" s="690"/>
      <c r="I109" s="690"/>
      <c r="J109" s="402" t="str">
        <f>FHD_NOTE_P_69</f>
        <v/>
      </c>
      <c r="K109" s="656"/>
      <c r="L109" s="1749"/>
      <c r="M109" s="1749"/>
      <c r="R109" s="1749"/>
      <c r="U109" s="657"/>
      <c r="AA109" s="1745"/>
      <c r="AB109" s="1745"/>
      <c r="AC109" s="1745"/>
      <c r="AD109" s="1745"/>
      <c r="AE109" s="1745"/>
      <c r="AF109" s="1273">
        <v>0</v>
      </c>
    </row>
    <row s="5467" customFormat="1" customHeight="1" ht="22.5" hidden="1">
      <c r="A110" s="2484"/>
      <c r="C110" s="1749"/>
      <c r="D110" s="1751"/>
      <c r="E110" s="659" t="str">
        <f>FHD_NUM_P_70</f>
        <v/>
      </c>
      <c r="F110" s="1993" t="str">
        <f>FHD_P_70</f>
        <v/>
      </c>
      <c r="G110" s="1990" t="s">
        <v>680</v>
      </c>
      <c r="H110" s="670"/>
      <c r="I110" s="670"/>
      <c r="J110" s="402" t="str">
        <f>FHD_NOTE_P_70</f>
        <v/>
      </c>
      <c r="K110" s="656"/>
      <c r="L110" s="1749"/>
      <c r="M110" s="1749"/>
      <c r="R110" s="1749"/>
      <c r="U110" s="657"/>
      <c r="AA110" s="1745"/>
      <c r="AB110" s="1745"/>
      <c r="AC110" s="1745"/>
      <c r="AD110" s="1745"/>
      <c r="AE110" s="1745"/>
      <c r="AF110" s="1273">
        <v>0</v>
      </c>
    </row>
    <row s="5467" customFormat="1" customHeight="1" ht="22.5" hidden="1">
      <c r="A111" s="2484"/>
      <c r="C111" s="1749"/>
      <c r="D111" s="1751"/>
      <c r="E111" s="659" t="str">
        <f>FHD_NUM_P_71</f>
        <v/>
      </c>
      <c r="F111" s="1993" t="str">
        <f>FHD_P_71</f>
        <v/>
      </c>
      <c r="G111" s="1990" t="s">
        <v>680</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10</v>
      </c>
      <c r="F112" s="1993" t="str">
        <f>FHD_P_72</f>
        <v>Среднесписочная численность основного производственного персонала</v>
      </c>
      <c r="G112" s="1989" t="s">
        <v>681</v>
      </c>
      <c r="H112" s="690"/>
      <c r="I112" s="690"/>
      <c r="J112" s="402" t="str">
        <f>FHD_NOTE_P_72</f>
        <v/>
      </c>
      <c r="K112" s="656"/>
      <c r="AF112" s="1744">
        <v>19</v>
      </c>
    </row>
    <row customHeight="1" ht="18.75" hidden="1">
      <c r="A113" s="1102" t="s">
        <v>682</v>
      </c>
      <c r="D113" s="1751"/>
      <c r="E113" s="659" t="str">
        <f>FHD_NUM_P_73</f>
        <v/>
      </c>
      <c r="F113" s="1993" t="str">
        <f>FHD_P_73</f>
        <v/>
      </c>
      <c r="G113" s="1083" t="s">
        <v>681</v>
      </c>
      <c r="H113" s="1081"/>
      <c r="I113" s="1081"/>
      <c r="J113" s="402" t="str">
        <f>FHD_NOTE_P_73</f>
        <v/>
      </c>
      <c r="K113" s="656"/>
      <c r="AF113" s="1744">
        <v>0</v>
      </c>
    </row>
    <row customHeight="1" ht="33.75" hidden="1">
      <c r="A114" s="1102" t="s">
        <v>683</v>
      </c>
      <c r="D114" s="1751"/>
      <c r="E114" s="659" t="str">
        <f>FHD_NUM_P_74</f>
        <v/>
      </c>
      <c r="F114" s="1993" t="str">
        <f>FHD_P_74</f>
        <v/>
      </c>
      <c r="G114" s="1989" t="s">
        <v>684</v>
      </c>
      <c r="H114" s="690"/>
      <c r="I114" s="690"/>
      <c r="J114" s="402" t="str">
        <f>FHD_NOTE_P_74</f>
        <v/>
      </c>
      <c r="K114" s="656"/>
      <c r="AF114" s="1744">
        <v>0</v>
      </c>
    </row>
    <row s="5387" customFormat="1" customHeight="1" ht="18.75" hidden="1">
      <c r="A115" s="2486" t="s">
        <v>685</v>
      </c>
      <c r="B115" s="1023"/>
      <c r="C115" s="848"/>
      <c r="D115" s="846"/>
      <c r="E115" s="659" t="str">
        <f>FHD_NUM_P_75</f>
        <v/>
      </c>
      <c r="F115" s="1993" t="str">
        <f>FHD_P_75</f>
        <v/>
      </c>
      <c r="G115" s="1989" t="s">
        <v>649</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7" customFormat="1" customHeight="1" ht="18.75" hidden="1">
      <c r="A116" s="2486"/>
      <c r="B116" s="1023"/>
      <c r="C116" s="848"/>
      <c r="D116" s="846"/>
      <c r="E116" s="659" t="str">
        <f>FHD_NUM_P_76</f>
        <v/>
      </c>
      <c r="F116" s="1993" t="str">
        <f>FHD_P_76</f>
        <v/>
      </c>
      <c r="G116" s="1989" t="s">
        <v>649</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7" customFormat="1" customHeight="1" ht="18.75" hidden="1">
      <c r="A117" s="2486"/>
      <c r="B117" s="1023"/>
      <c r="C117" s="848"/>
      <c r="D117" s="846"/>
      <c r="E117" s="659" t="str">
        <f>FHD_NUM_P_77</f>
        <v/>
      </c>
      <c r="F117" s="1993" t="str">
        <f>FHD_P_77</f>
        <v/>
      </c>
      <c r="G117" s="1989" t="s">
        <v>649</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68" customFormat="1" customHeight="1" ht="0.75" hidden="1">
      <c r="A118" s="2486"/>
      <c r="D118" s="661"/>
      <c r="E118" s="1126" t="str">
        <f>E117&amp;".0"</f>
        <v>.0</v>
      </c>
      <c r="F118" s="1110"/>
      <c r="G118" s="1764"/>
      <c r="H118" s="1105"/>
      <c r="I118" s="1105"/>
      <c r="J118" s="1109"/>
      <c r="AF118" s="1749">
        <v>0</v>
      </c>
    </row>
    <row s="5387" customFormat="1" customHeight="1" ht="15" hidden="1">
      <c r="A119" s="2486"/>
      <c r="B119" s="1023"/>
      <c r="C119" s="848"/>
      <c r="D119" s="859"/>
      <c r="E119" s="1086"/>
      <c r="F119" s="1087" t="s">
        <v>686</v>
      </c>
      <c r="G119" s="860"/>
      <c r="H119" s="861"/>
      <c r="I119" s="861"/>
      <c r="J119" s="1116" t="s">
        <v>687</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688</v>
      </c>
      <c r="D120" s="1751"/>
      <c r="E120" s="659" t="str">
        <f>FHD_NUM_P_78</f>
        <v/>
      </c>
      <c r="F120" s="1993" t="str">
        <f>FHD_P_78</f>
        <v/>
      </c>
      <c r="G120" s="1990" t="s">
        <v>651</v>
      </c>
      <c r="H120" s="690"/>
      <c r="I120" s="690"/>
      <c r="J120" s="402" t="str">
        <f>FHD_NOTE_P_78</f>
        <v/>
      </c>
      <c r="K120" s="656"/>
      <c r="AF120" s="1744">
        <v>0</v>
      </c>
    </row>
    <row s="5468"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677</v>
      </c>
      <c r="G122" s="685"/>
      <c r="H122" s="686"/>
      <c r="I122" s="686"/>
      <c r="J122" s="1117" t="s">
        <v>689</v>
      </c>
      <c r="K122" s="656"/>
      <c r="AF122" s="1744">
        <v>0</v>
      </c>
    </row>
    <row customHeight="1" ht="22.5" hidden="1">
      <c r="A123" s="2484"/>
      <c r="D123" s="1751"/>
      <c r="E123" s="659" t="str">
        <f>FHD_NUM_P_79</f>
        <v/>
      </c>
      <c r="F123" s="1993" t="str">
        <f>FHD_P_79</f>
        <v/>
      </c>
      <c r="G123" s="1991" t="s">
        <v>653</v>
      </c>
      <c r="H123" s="690"/>
      <c r="I123" s="690"/>
      <c r="J123" s="402" t="str">
        <f>FHD_NOTE_P_79</f>
        <v/>
      </c>
      <c r="K123" s="656"/>
      <c r="AF123" s="1744">
        <v>0</v>
      </c>
    </row>
    <row s="5468"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677</v>
      </c>
      <c r="G125" s="685"/>
      <c r="H125" s="686"/>
      <c r="I125" s="686"/>
      <c r="J125" s="1117" t="s">
        <v>690</v>
      </c>
      <c r="K125" s="656"/>
      <c r="AF125" s="1744">
        <v>0</v>
      </c>
    </row>
    <row customHeight="1" ht="22.5" hidden="1">
      <c r="A126" s="2484"/>
      <c r="D126" s="1751"/>
      <c r="E126" s="659" t="str">
        <f>FHD_NUM_P_80</f>
        <v/>
      </c>
      <c r="F126" s="1993" t="str">
        <f>FHD_P_80</f>
        <v/>
      </c>
      <c r="G126" s="1991" t="s">
        <v>691</v>
      </c>
      <c r="H126" s="670"/>
      <c r="I126" s="670"/>
      <c r="J126" s="402" t="str">
        <f>FHD_NOTE_P_80</f>
        <v/>
      </c>
      <c r="K126" s="656"/>
      <c r="AF126" s="1744">
        <v>0</v>
      </c>
    </row>
    <row customHeight="1" ht="18.75" hidden="1">
      <c r="A127" s="2484"/>
      <c r="D127" s="1751"/>
      <c r="E127" s="659" t="str">
        <f>FHD_NUM_P_81</f>
        <v/>
      </c>
      <c r="F127" s="1993" t="str">
        <f>FHD_P_81</f>
        <v/>
      </c>
      <c r="G127" s="1991" t="s">
        <v>692</v>
      </c>
      <c r="H127" s="670"/>
      <c r="I127" s="670"/>
      <c r="J127" s="402" t="str">
        <f>FHD_NOTE_P_81</f>
        <v/>
      </c>
      <c r="K127" s="656"/>
      <c r="AF127" s="1744">
        <v>0</v>
      </c>
    </row>
    <row customHeight="1" ht="18.75" hidden="1">
      <c r="A128" s="2484"/>
      <c r="C128" s="1749" t="s">
        <v>679</v>
      </c>
      <c r="D128" s="1751"/>
      <c r="E128" s="659" t="str">
        <f>FHD_NUM_P_82</f>
        <v/>
      </c>
      <c r="F128" s="1993" t="str">
        <f>FHD_P_82</f>
        <v/>
      </c>
      <c r="G128" s="1991" t="s">
        <v>399</v>
      </c>
      <c r="H128" s="514"/>
      <c r="I128" s="514"/>
      <c r="J128" s="402" t="str">
        <f>FHD_NOTE_P_82</f>
        <v/>
      </c>
      <c r="K128" s="656"/>
      <c r="AF128" s="1744">
        <v>0</v>
      </c>
    </row>
    <row customHeight="1" ht="18.75" hidden="1">
      <c r="A129" s="2484"/>
      <c r="C129" s="1749" t="s">
        <v>679</v>
      </c>
      <c r="D129" s="1751"/>
      <c r="E129" s="659" t="str">
        <f>FHD_NUM_P_83</f>
        <v/>
      </c>
      <c r="F129" s="1637" t="str">
        <f>FHD_P_83</f>
        <v/>
      </c>
      <c r="G129" s="1991" t="s">
        <v>399</v>
      </c>
      <c r="H129" s="514"/>
      <c r="I129" s="514"/>
      <c r="J129" s="402" t="str">
        <f>FHD_NOTE_P_83</f>
        <v/>
      </c>
      <c r="K129" s="656"/>
      <c r="AF129" s="1744">
        <v>0</v>
      </c>
    </row>
    <row customHeight="1" ht="18.75" hidden="1">
      <c r="A130" s="2484"/>
      <c r="C130" s="1749" t="s">
        <v>679</v>
      </c>
      <c r="D130" s="1751"/>
      <c r="E130" s="659" t="str">
        <f>FHD_NUM_P_84</f>
        <v/>
      </c>
      <c r="F130" s="1637" t="str">
        <f>FHD_P_84</f>
        <v/>
      </c>
      <c r="G130" s="1991" t="s">
        <v>399</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6074"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74"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74"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74"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74"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74"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74"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74"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74"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74"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74"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74"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74"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74"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74"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74"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74"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74"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74"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74"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74"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74"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74"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74"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74"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74"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74"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74"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74"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74"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74"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74"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74"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74"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74"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74"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74"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74"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74"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74"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74"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74"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74"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74"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74"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74"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74"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74"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74"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74"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74"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74"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74"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74"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74"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74"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74"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74"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74"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74"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74"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74"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74"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74"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74"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74"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74"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74"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74"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74"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74"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74"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74"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74"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74"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74"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74"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74"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74"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74"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74"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74"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74"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74"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74"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74"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74"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74"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74"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74"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74"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74"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74"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74"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74"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74"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74"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74"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74"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74"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74"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74"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74"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74"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74"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74"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74"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74"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74"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74"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74"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74"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74"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74"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74"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74"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74"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74"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74"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74"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74"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74"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74"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74"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74"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74"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74"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74"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74"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74"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74"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74"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74"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74"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74"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74"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74"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74"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74"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74"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74"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74"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74"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74"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74"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74"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74"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74"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74"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74"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74"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74"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74"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74"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74"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74"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C581C-28E9-E0CE-BC4A-30F0BB35654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194" width="14.7109375" hidden="1" customWidth="1"/>
    <col min="2" max="2" style="5351" width="17.00390625" hidden="1" customWidth="1"/>
    <col min="3" max="3" style="5387" width="3.00390625" customWidth="1"/>
    <col min="4" max="4" style="5387" width="1.8515625" hidden="1" customWidth="1"/>
    <col min="5" max="6" style="5387" width="7.00390625" customWidth="1"/>
    <col min="7" max="7" style="5387" width="29.00390625" customWidth="1"/>
    <col min="8" max="8" style="5387" width="3.7109375" customWidth="1"/>
    <col min="9" max="9" style="5387" width="5.00390625" customWidth="1"/>
    <col min="10" max="11" style="5387" width="24.00390625" customWidth="1"/>
    <col min="12" max="12" style="5387" width="3.00390625" customWidth="1"/>
    <col min="13" max="13" style="5387" width="6.00390625" customWidth="1"/>
    <col min="14" max="14" style="5387" width="25.00390625" customWidth="1"/>
    <col min="15" max="18" style="5387" width="18.00390625" customWidth="1"/>
    <col min="19" max="19" style="5387" width="93.00390625" customWidth="1"/>
    <col min="20" max="20" style="5387" width="10.00390625" customWidth="1"/>
    <col min="21" max="21" style="5468" width="10.00390625" customWidth="1"/>
    <col min="22" max="22" style="5468" width="11.00390625" customWidth="1"/>
    <col min="23" max="27" style="5351" width="10.00390625" customWidth="1"/>
    <col min="28" max="83" style="5387" width="8.00390625" customWidth="1"/>
    <col min="84" max="84" style="5387"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387" customFormat="1" customHeight="1" ht="16.8">
      <c r="A6" s="723"/>
      <c r="B6" s="872"/>
      <c r="C6" s="622"/>
      <c r="D6" s="1171"/>
      <c r="E6" s="2289" t="str">
        <f>IF(org=0,"Не определено",org)</f>
        <v>КГУП "Примтеплоэнерго"</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74"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393</v>
      </c>
      <c r="F9" s="2215"/>
      <c r="G9" s="2215"/>
      <c r="H9" s="2215"/>
      <c r="I9" s="2215"/>
      <c r="J9" s="2215"/>
      <c r="K9" s="2215"/>
      <c r="L9" s="2215"/>
      <c r="M9" s="2215"/>
      <c r="N9" s="2215"/>
      <c r="O9" s="2215"/>
      <c r="P9" s="2215"/>
      <c r="Q9" s="2215"/>
      <c r="R9" s="2216"/>
      <c r="S9" s="2240" t="s">
        <v>394</v>
      </c>
      <c r="T9" s="447"/>
      <c r="CF9" s="618">
        <v>19</v>
      </c>
    </row>
    <row customHeight="1" ht="48.29999999999999">
      <c r="D10" s="664" t="s">
        <v>88</v>
      </c>
      <c r="E10" s="2240" t="s">
        <v>88</v>
      </c>
      <c r="F10" s="2240"/>
      <c r="G10" s="634" t="s">
        <v>395</v>
      </c>
      <c r="H10" s="2240" t="s">
        <v>88</v>
      </c>
      <c r="I10" s="2240"/>
      <c r="J10" s="634" t="s">
        <v>693</v>
      </c>
      <c r="K10" s="634" t="s">
        <v>694</v>
      </c>
      <c r="L10" s="2240" t="s">
        <v>88</v>
      </c>
      <c r="M10" s="2240"/>
      <c r="N10" s="634" t="s">
        <v>695</v>
      </c>
      <c r="O10" s="634" t="s">
        <v>696</v>
      </c>
      <c r="P10" s="634" t="s">
        <v>697</v>
      </c>
      <c r="Q10" s="634" t="s">
        <v>698</v>
      </c>
      <c r="R10" s="634" t="s">
        <v>699</v>
      </c>
      <c r="S10" s="2240"/>
      <c r="T10" s="447"/>
      <c r="CF10" s="618">
        <v>46</v>
      </c>
    </row>
    <row s="5468" customFormat="1" customHeight="1" ht="15" hidden="1">
      <c r="A11" s="1165"/>
      <c r="D11" s="1138" t="s">
        <v>136</v>
      </c>
      <c r="E11" s="1138"/>
      <c r="F11" s="1138" t="s">
        <v>103</v>
      </c>
      <c r="G11" s="1138" t="s">
        <v>90</v>
      </c>
      <c r="H11" s="1138"/>
      <c r="I11" s="1138" t="s">
        <v>91</v>
      </c>
      <c r="J11" s="1138" t="s">
        <v>116</v>
      </c>
      <c r="K11" s="1138" t="s">
        <v>92</v>
      </c>
      <c r="L11" s="1138"/>
      <c r="M11" s="1138" t="s">
        <v>93</v>
      </c>
      <c r="N11" s="1138" t="s">
        <v>129</v>
      </c>
      <c r="O11" s="1138" t="s">
        <v>134</v>
      </c>
      <c r="P11" s="1138" t="s">
        <v>180</v>
      </c>
      <c r="Q11" s="1138" t="s">
        <v>181</v>
      </c>
      <c r="R11" s="1138" t="s">
        <v>182</v>
      </c>
      <c r="S11" s="1138" t="s">
        <v>183</v>
      </c>
      <c r="U11" s="724"/>
      <c r="V11" s="724"/>
      <c r="W11" s="724"/>
      <c r="CF11" s="624">
        <v>0</v>
      </c>
    </row>
    <row s="5387" customFormat="1" customHeight="1" ht="1.05">
      <c r="A12" s="728"/>
      <c r="B12" s="475"/>
      <c r="D12" s="661"/>
      <c r="E12" s="459"/>
      <c r="F12" s="459"/>
      <c r="Q12" s="729"/>
      <c r="R12" s="730"/>
      <c r="T12" s="731"/>
      <c r="U12" s="732"/>
      <c r="V12" s="732"/>
      <c r="W12" s="733"/>
      <c r="X12" s="475"/>
      <c r="Y12" s="475"/>
      <c r="Z12" s="475"/>
      <c r="AA12" s="475"/>
      <c r="CF12" s="622">
        <v>1</v>
      </c>
    </row>
    <row s="6074" customFormat="1" customHeight="1" ht="1.05">
      <c r="A13" s="734"/>
      <c r="B13" s="679"/>
      <c r="D13" s="661" t="s">
        <v>469</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28" customFormat="1" customHeight="1" ht="15" hidden="1">
      <c r="A14" s="736" t="s">
        <v>149</v>
      </c>
      <c r="B14" s="737"/>
      <c r="C14" s="737"/>
      <c r="D14" s="2493" t="s">
        <v>136</v>
      </c>
      <c r="E14" s="2490" t="s">
        <v>141</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700</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28" customFormat="1" customHeight="1" ht="15" hidden="1">
      <c r="A15" s="736"/>
      <c r="B15" s="737"/>
      <c r="C15" s="737"/>
      <c r="D15" s="2494"/>
      <c r="E15" s="2490" t="s">
        <v>655</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28" customFormat="1" customHeight="1" ht="15" hidden="1">
      <c r="A16" s="736"/>
      <c r="B16" s="737"/>
      <c r="C16" s="737"/>
      <c r="D16" s="2494"/>
      <c r="E16" s="2490" t="s">
        <v>656</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28" customFormat="1" customHeight="1" ht="22.5" hidden="1">
      <c r="A17" s="746"/>
      <c r="B17" s="530"/>
      <c r="C17" s="525"/>
      <c r="D17" s="2494"/>
      <c r="E17" s="2489" t="s">
        <v>701</v>
      </c>
      <c r="F17" s="2489"/>
      <c r="G17" s="2489"/>
      <c r="H17" s="2489"/>
      <c r="I17" s="2489"/>
      <c r="J17" s="2489"/>
      <c r="K17" s="2489"/>
      <c r="L17" s="2489"/>
      <c r="M17" s="2489"/>
      <c r="N17" s="2489"/>
      <c r="O17" s="2489"/>
      <c r="P17" s="2489"/>
      <c r="Q17" s="671">
        <f>SUMIF(T18:T19,"i",Q18:Q19)</f>
        <v>0</v>
      </c>
      <c r="R17" s="1130"/>
      <c r="S17" s="1010" t="s">
        <v>702</v>
      </c>
      <c r="T17" s="830" t="s">
        <v>703</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28"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28"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28" customFormat="1" customHeight="1" ht="22.5" hidden="1">
      <c r="A20" s="746"/>
      <c r="B20" s="530"/>
      <c r="C20" s="525"/>
      <c r="D20" s="2494"/>
      <c r="E20" s="2489" t="s">
        <v>704</v>
      </c>
      <c r="F20" s="2489"/>
      <c r="G20" s="2489"/>
      <c r="H20" s="2489"/>
      <c r="I20" s="2489"/>
      <c r="J20" s="2489"/>
      <c r="K20" s="2489"/>
      <c r="L20" s="2489"/>
      <c r="M20" s="2489"/>
      <c r="N20" s="2489"/>
      <c r="O20" s="2489"/>
      <c r="P20" s="2489"/>
      <c r="Q20" s="671">
        <f>SUMIF(T21:T22,"i",Q21:Q22)</f>
        <v>0</v>
      </c>
      <c r="R20" s="1130"/>
      <c r="S20" s="822" t="s">
        <v>705</v>
      </c>
      <c r="T20" s="830" t="s">
        <v>703</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28"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28"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54565-5CED-03EA-276C-673803F02A02}"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126" width="10.7109375" hidden="1" customWidth="1"/>
    <col min="6" max="6" style="5467" width="16.8515625" hidden="1" customWidth="1"/>
    <col min="7" max="7" style="5468" width="5.57421875" hidden="1" customWidth="1"/>
    <col min="8" max="8" style="5387" width="3.00390625" customWidth="1"/>
    <col min="9" max="9" style="5387" width="7.00390625" customWidth="1"/>
    <col min="10" max="10" style="5387" width="56.00390625" customWidth="1"/>
    <col min="11" max="11" style="5387" width="10.00390625" customWidth="1"/>
    <col min="12" max="12" style="5387" width="40.57421875" hidden="1" customWidth="1"/>
    <col min="13" max="13" style="5387" width="40.7109375" customWidth="1"/>
    <col min="14" max="14" style="5467" width="9.7109375" hidden="1" customWidth="1"/>
    <col min="15" max="15" style="5387" width="102.00390625" customWidth="1"/>
    <col min="16" max="16" style="5467" width="9.00390625" customWidth="1"/>
    <col min="17" max="17" style="5468" width="5.00390625" customWidth="1"/>
    <col min="18" max="18" style="5468" width="3.00390625" customWidth="1"/>
    <col min="19" max="22" style="5467" width="3.00390625" customWidth="1"/>
    <col min="23" max="23" style="5468" width="10.00390625" customWidth="1"/>
    <col min="24" max="24" style="5467" width="34.00390625" customWidth="1"/>
    <col min="25" max="25" style="5467" width="9.00390625" customWidth="1"/>
    <col min="26" max="26" style="9127" width="8.00390625" customWidth="1"/>
    <col min="27" max="31" style="5467" width="8.00390625" customWidth="1"/>
    <col min="32" max="36" style="5351" width="8.00390625" customWidth="1"/>
    <col min="37" max="37" style="5387" width="5.421875" hidden="1" customWidth="1"/>
  </cols>
  <sheetData>
    <row s="5467" customFormat="1" customHeight="1" ht="33.75" hidden="1">
      <c r="A1" s="1100"/>
      <c r="B1" s="1100"/>
      <c r="C1" s="1100"/>
      <c r="D1" s="1100"/>
      <c r="E1" s="1100"/>
      <c r="G1" s="1749"/>
      <c r="H1" s="991"/>
      <c r="L1" s="1479">
        <v>4</v>
      </c>
      <c r="M1" s="1479">
        <v>4</v>
      </c>
      <c r="Q1" s="1749"/>
      <c r="R1" s="1749"/>
      <c r="W1" s="1749"/>
      <c r="AK1" s="1479" t="s">
        <v>14</v>
      </c>
    </row>
    <row s="5467" customFormat="1" customHeight="1" ht="78.75" hidden="1">
      <c r="A2" s="1100"/>
      <c r="B2" s="2166" t="s">
        <v>706</v>
      </c>
      <c r="C2" s="2166" t="s">
        <v>707</v>
      </c>
      <c r="D2" s="2165" t="s">
        <v>708</v>
      </c>
      <c r="E2" s="2169">
        <f>RIGHT(I2,LEN(I2)-SEARCH("#",SUBSTITUTE(I2,".","#",LEN(I2)-LEN(SUBSTITUTE(I2,".","")))))</f>
      </c>
      <c r="F2" s="2171">
        <f>J2</f>
        <v>0</v>
      </c>
      <c r="G2" s="1749"/>
      <c r="H2" s="2172"/>
      <c r="I2" s="2162"/>
      <c r="J2" s="653"/>
      <c r="K2" s="2132" t="s">
        <v>647</v>
      </c>
      <c r="L2" s="864"/>
      <c r="M2" s="864"/>
      <c r="N2" s="656"/>
      <c r="O2" s="1638" t="s">
        <v>648</v>
      </c>
      <c r="P2" s="656"/>
      <c r="Q2" s="1749"/>
      <c r="R2" s="1749"/>
      <c r="W2" s="1749"/>
      <c r="Z2" s="657"/>
      <c r="AF2" s="1745"/>
      <c r="AG2" s="1745"/>
      <c r="AH2" s="1745"/>
      <c r="AI2" s="1745"/>
      <c r="AJ2" s="1745"/>
      <c r="AK2" s="1479">
        <v>0</v>
      </c>
    </row>
    <row customHeight="1" ht="11.25" hidden="1">
      <c r="E3" s="2164" t="s">
        <v>709</v>
      </c>
      <c r="L3" s="1744">
        <f>0</f>
        <v>0</v>
      </c>
      <c r="M3" s="1744">
        <v>1</v>
      </c>
      <c r="AK3" s="1744">
        <v>0</v>
      </c>
    </row>
    <row s="5351"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710</v>
      </c>
      <c r="J6" s="2420"/>
      <c r="K6" s="2420"/>
      <c r="L6" s="2420"/>
      <c r="M6" s="2420"/>
      <c r="O6" s="669"/>
      <c r="AK6" s="1744">
        <v>55</v>
      </c>
    </row>
    <row customHeight="1" ht="25.2">
      <c r="I7" s="2362" t="str">
        <f>IF(org=0,"Не определено",org)</f>
        <v>КГУП "Примтеплоэнерго"</v>
      </c>
      <c r="J7" s="2362"/>
      <c r="K7" s="2362"/>
      <c r="L7" s="2362"/>
      <c r="M7" s="2362"/>
      <c r="AK7" s="1744">
        <v>24</v>
      </c>
    </row>
    <row customHeight="1" ht="11.549999999999999">
      <c r="I8" s="1248"/>
      <c r="J8" s="1248"/>
      <c r="K8" s="1248"/>
      <c r="L8" s="1248"/>
      <c r="M8" s="1248"/>
      <c r="AK8" s="1744">
        <v>11</v>
      </c>
    </row>
    <row s="5468" customFormat="1" customHeight="1" ht="30" hidden="1">
      <c r="A9" s="1280"/>
      <c r="B9" s="1280"/>
      <c r="C9" s="1280"/>
      <c r="E9" s="1280"/>
      <c r="H9" s="1755"/>
      <c r="L9" s="1002"/>
      <c r="M9" s="1002" t="s">
        <v>149</v>
      </c>
      <c r="AK9" s="1749">
        <v>1</v>
      </c>
    </row>
    <row customHeight="1" ht="11.549999999999999">
      <c r="E10" s="2163" t="s">
        <v>711</v>
      </c>
      <c r="I10" s="824"/>
      <c r="J10" s="2480" t="s">
        <v>141</v>
      </c>
      <c r="K10" s="2481"/>
      <c r="L10" s="2142" t="str">
        <f>IF(L9="","",INDEX(DIFFERENTIATION_UNMERGE_VD,MATCH(L9,DIFFERENTIATION_ID_DIFF,0)))</f>
        <v/>
      </c>
      <c r="M10" s="2142">
        <f>IF(M9="","",INDEX(DIFFERENTIATION_UNMERGE_VD,MATCH(M9,DIFFERENTIATION_ID_DIFF,0)))</f>
        <v>0</v>
      </c>
      <c r="O10" s="2240" t="s">
        <v>394</v>
      </c>
      <c r="AK10" s="1744">
        <v>11</v>
      </c>
    </row>
    <row customHeight="1" ht="11.549999999999999">
      <c r="E11" s="2163" t="s">
        <v>712</v>
      </c>
      <c r="I11" s="824"/>
      <c r="J11" s="2480" t="s">
        <v>655</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713</v>
      </c>
      <c r="I12" s="1775"/>
      <c r="J12" s="2480" t="s">
        <v>656</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714</v>
      </c>
      <c r="F13" s="2163" t="s">
        <v>715</v>
      </c>
      <c r="I13" s="2482" t="s">
        <v>393</v>
      </c>
      <c r="J13" s="2483"/>
      <c r="K13" s="2483"/>
      <c r="L13" s="2140"/>
      <c r="M13" s="2180"/>
      <c r="O13" s="2240"/>
      <c r="AK13" s="1744">
        <v>11</v>
      </c>
    </row>
    <row customHeight="1" ht="24">
      <c r="I14" s="2133" t="s">
        <v>88</v>
      </c>
      <c r="J14" s="2133" t="s">
        <v>395</v>
      </c>
      <c r="K14" s="2133" t="s">
        <v>657</v>
      </c>
      <c r="L14" s="2173" t="s">
        <v>396</v>
      </c>
      <c r="M14" s="2174" t="s">
        <v>396</v>
      </c>
      <c r="O14" s="2240"/>
      <c r="AK14" s="1744">
        <v>23</v>
      </c>
    </row>
    <row customHeight="1" ht="24">
      <c r="A15" s="2167"/>
      <c r="B15" s="2166" t="s">
        <v>716</v>
      </c>
      <c r="C15" s="2166" t="s">
        <v>717</v>
      </c>
      <c r="D15" s="2165" t="s">
        <v>718</v>
      </c>
      <c r="E15" s="2169" t="s">
        <v>719</v>
      </c>
      <c r="F15" s="2169" t="s">
        <v>719</v>
      </c>
      <c r="G15" s="1749" t="s">
        <v>679</v>
      </c>
      <c r="H15" s="2134"/>
      <c r="I15" s="1743">
        <v>1</v>
      </c>
      <c r="J15" s="2135" t="s">
        <v>720</v>
      </c>
      <c r="K15" s="2133" t="s">
        <v>399</v>
      </c>
      <c r="L15" s="775"/>
      <c r="M15" s="931"/>
      <c r="N15" s="656" t="s">
        <v>721</v>
      </c>
      <c r="O15" s="1638" t="s">
        <v>722</v>
      </c>
      <c r="P15" s="656" t="s">
        <v>721</v>
      </c>
      <c r="AK15" s="1744">
        <v>23</v>
      </c>
    </row>
    <row customHeight="1" ht="35.699999999999996">
      <c r="A16" s="2167"/>
      <c r="B16" s="2166" t="s">
        <v>723</v>
      </c>
      <c r="C16" s="2166" t="s">
        <v>724</v>
      </c>
      <c r="D16" s="2165" t="s">
        <v>708</v>
      </c>
      <c r="E16" s="2169" t="s">
        <v>719</v>
      </c>
      <c r="F16" s="2169" t="s">
        <v>719</v>
      </c>
      <c r="H16" s="2134"/>
      <c r="I16" s="1742">
        <v>2</v>
      </c>
      <c r="J16" s="2176" t="s">
        <v>725</v>
      </c>
      <c r="K16" s="2175" t="s">
        <v>647</v>
      </c>
      <c r="L16" s="2181"/>
      <c r="M16" s="1789"/>
      <c r="N16" s="656" t="s">
        <v>721</v>
      </c>
      <c r="O16" s="1638" t="s">
        <v>726</v>
      </c>
      <c r="P16" s="656" t="s">
        <v>721</v>
      </c>
      <c r="AK16" s="1744">
        <v>34</v>
      </c>
    </row>
    <row s="5468" customFormat="1" customHeight="1" ht="17.25" hidden="1">
      <c r="A17" s="1280"/>
      <c r="B17" s="1280"/>
      <c r="C17" s="1280"/>
      <c r="D17" s="1280"/>
      <c r="E17" s="1280"/>
      <c r="H17" s="1437"/>
      <c r="I17" s="1126" t="s">
        <v>727</v>
      </c>
      <c r="J17" s="1104"/>
      <c r="K17" s="1126"/>
      <c r="L17" s="1105"/>
      <c r="M17" s="1105"/>
      <c r="O17" s="1498"/>
      <c r="AK17" s="1749">
        <v>1</v>
      </c>
    </row>
    <row s="5467" customFormat="1" customHeight="1" ht="24">
      <c r="A18" s="1100"/>
      <c r="B18" s="1100"/>
      <c r="C18" s="1100"/>
      <c r="D18" s="1100"/>
      <c r="E18" s="1100"/>
      <c r="G18" s="1749"/>
      <c r="H18" s="1746"/>
      <c r="I18" s="683"/>
      <c r="J18" s="684" t="s">
        <v>677</v>
      </c>
      <c r="K18" s="685"/>
      <c r="L18" s="2183"/>
      <c r="M18" s="686"/>
      <c r="N18" s="656"/>
      <c r="O18" s="1638" t="s">
        <v>678</v>
      </c>
      <c r="P18" s="656"/>
      <c r="Q18" s="1749"/>
      <c r="R18" s="1749"/>
      <c r="W18" s="1749"/>
      <c r="Z18" s="657"/>
      <c r="AF18" s="1745"/>
      <c r="AG18" s="1745"/>
      <c r="AH18" s="1745"/>
      <c r="AI18" s="1745"/>
      <c r="AJ18" s="1745"/>
      <c r="AK18" s="1479">
        <v>23</v>
      </c>
    </row>
    <row customHeight="1" ht="19.95">
      <c r="A19" s="2167"/>
      <c r="B19" s="2166" t="s">
        <v>728</v>
      </c>
      <c r="C19" s="2166" t="s">
        <v>729</v>
      </c>
      <c r="D19" s="2165" t="s">
        <v>708</v>
      </c>
      <c r="E19" s="2169" t="s">
        <v>719</v>
      </c>
      <c r="F19" s="2169" t="s">
        <v>719</v>
      </c>
      <c r="H19" s="2134"/>
      <c r="I19" s="1777">
        <v>3</v>
      </c>
      <c r="J19" s="2135" t="s">
        <v>729</v>
      </c>
      <c r="K19" s="2131" t="s">
        <v>647</v>
      </c>
      <c r="L19" s="840"/>
      <c r="M19" s="670"/>
      <c r="N19" s="656"/>
      <c r="O19" s="1638" t="s">
        <v>730</v>
      </c>
      <c r="P19" s="656"/>
      <c r="AK19" s="1744">
        <v>19</v>
      </c>
    </row>
    <row customHeight="1" ht="77.7">
      <c r="A20" s="2167"/>
      <c r="B20" s="2166" t="s">
        <v>731</v>
      </c>
      <c r="C20" s="2166" t="s">
        <v>732</v>
      </c>
      <c r="D20" s="2165" t="s">
        <v>708</v>
      </c>
      <c r="E20" s="2169" t="s">
        <v>719</v>
      </c>
      <c r="F20" s="2169" t="s">
        <v>719</v>
      </c>
      <c r="H20" s="2134"/>
      <c r="I20" s="1777">
        <v>4</v>
      </c>
      <c r="J20" s="2135" t="s">
        <v>733</v>
      </c>
      <c r="K20" s="2131" t="s">
        <v>674</v>
      </c>
      <c r="L20" s="840"/>
      <c r="M20" s="670"/>
      <c r="N20" s="656"/>
      <c r="O20" s="1638"/>
      <c r="P20" s="656"/>
      <c r="AK20" s="1744">
        <v>74</v>
      </c>
    </row>
    <row customHeight="1" ht="35.699999999999996">
      <c r="A21" s="2167"/>
      <c r="B21" s="2166" t="s">
        <v>734</v>
      </c>
      <c r="C21" s="2166" t="s">
        <v>735</v>
      </c>
      <c r="D21" s="2165" t="s">
        <v>708</v>
      </c>
      <c r="E21" s="2169" t="s">
        <v>719</v>
      </c>
      <c r="F21" s="2169" t="s">
        <v>719</v>
      </c>
      <c r="H21" s="2134"/>
      <c r="I21" s="1777">
        <v>5</v>
      </c>
      <c r="J21" s="2135" t="s">
        <v>736</v>
      </c>
      <c r="K21" s="2131" t="s">
        <v>674</v>
      </c>
      <c r="L21" s="840"/>
      <c r="M21" s="670"/>
      <c r="N21" s="656"/>
      <c r="O21" s="1638" t="s">
        <v>730</v>
      </c>
      <c r="P21" s="656"/>
      <c r="AK21" s="1744">
        <v>34</v>
      </c>
    </row>
    <row customHeight="1" ht="48.29999999999999">
      <c r="A22" s="2167"/>
      <c r="B22" s="2166" t="s">
        <v>737</v>
      </c>
      <c r="C22" s="2166" t="s">
        <v>738</v>
      </c>
      <c r="D22" s="2165" t="s">
        <v>708</v>
      </c>
      <c r="E22" s="2169" t="s">
        <v>719</v>
      </c>
      <c r="F22" s="2169" t="s">
        <v>719</v>
      </c>
      <c r="H22" s="2134"/>
      <c r="I22" s="1777">
        <v>6</v>
      </c>
      <c r="J22" s="2135" t="s">
        <v>739</v>
      </c>
      <c r="K22" s="2131" t="s">
        <v>674</v>
      </c>
      <c r="L22" s="840"/>
      <c r="M22" s="670"/>
      <c r="N22" s="656"/>
      <c r="O22" s="1638" t="s">
        <v>740</v>
      </c>
      <c r="P22" s="656"/>
      <c r="AK22" s="1744">
        <v>46</v>
      </c>
    </row>
    <row customHeight="1" ht="19.95">
      <c r="A23" s="2167"/>
      <c r="B23" s="2166" t="s">
        <v>741</v>
      </c>
      <c r="C23" s="2166" t="s">
        <v>742</v>
      </c>
      <c r="D23" s="2165" t="s">
        <v>708</v>
      </c>
      <c r="E23" s="2169" t="s">
        <v>719</v>
      </c>
      <c r="F23" s="2169" t="s">
        <v>719</v>
      </c>
      <c r="H23" s="2134"/>
      <c r="I23" s="1777" t="s">
        <v>743</v>
      </c>
      <c r="J23" s="1637" t="s">
        <v>744</v>
      </c>
      <c r="K23" s="2131" t="s">
        <v>674</v>
      </c>
      <c r="L23" s="840"/>
      <c r="M23" s="670"/>
      <c r="N23" s="656"/>
      <c r="O23" s="1638" t="s">
        <v>730</v>
      </c>
      <c r="P23" s="656"/>
      <c r="AK23" s="1744">
        <v>19</v>
      </c>
    </row>
    <row customHeight="1" ht="19.95">
      <c r="A24" s="2167"/>
      <c r="B24" s="2166" t="s">
        <v>745</v>
      </c>
      <c r="C24" s="2166" t="s">
        <v>746</v>
      </c>
      <c r="D24" s="2165" t="s">
        <v>708</v>
      </c>
      <c r="E24" s="2169" t="s">
        <v>719</v>
      </c>
      <c r="F24" s="2169" t="s">
        <v>719</v>
      </c>
      <c r="H24" s="2134"/>
      <c r="I24" s="1777" t="s">
        <v>747</v>
      </c>
      <c r="J24" s="1637" t="s">
        <v>748</v>
      </c>
      <c r="K24" s="2131" t="s">
        <v>674</v>
      </c>
      <c r="L24" s="840"/>
      <c r="M24" s="670"/>
      <c r="N24" s="656"/>
      <c r="O24" s="1638"/>
      <c r="P24" s="656"/>
      <c r="AK24" s="1744">
        <v>19</v>
      </c>
    </row>
    <row customHeight="1" ht="24">
      <c r="A25" s="2167"/>
      <c r="B25" s="2166" t="s">
        <v>749</v>
      </c>
      <c r="C25" s="2166" t="s">
        <v>750</v>
      </c>
      <c r="D25" s="2165" t="s">
        <v>708</v>
      </c>
      <c r="E25" s="2169" t="s">
        <v>719</v>
      </c>
      <c r="F25" s="2169" t="s">
        <v>719</v>
      </c>
      <c r="H25" s="2134"/>
      <c r="I25" s="1777" t="s">
        <v>751</v>
      </c>
      <c r="J25" s="1637" t="s">
        <v>752</v>
      </c>
      <c r="K25" s="2131" t="s">
        <v>674</v>
      </c>
      <c r="L25" s="840"/>
      <c r="M25" s="670"/>
      <c r="N25" s="656"/>
      <c r="O25" s="1638"/>
      <c r="P25" s="656"/>
      <c r="AK25" s="1744">
        <v>23</v>
      </c>
    </row>
    <row customHeight="1" ht="24">
      <c r="A26" s="2167"/>
      <c r="B26" s="2166" t="s">
        <v>753</v>
      </c>
      <c r="C26" s="2166" t="s">
        <v>754</v>
      </c>
      <c r="D26" s="2165" t="s">
        <v>708</v>
      </c>
      <c r="E26" s="2169" t="s">
        <v>719</v>
      </c>
      <c r="F26" s="2169" t="s">
        <v>719</v>
      </c>
      <c r="H26" s="2134"/>
      <c r="I26" s="1777">
        <v>7</v>
      </c>
      <c r="J26" s="2135" t="s">
        <v>754</v>
      </c>
      <c r="K26" s="2131" t="s">
        <v>755</v>
      </c>
      <c r="L26" s="840"/>
      <c r="M26" s="670"/>
      <c r="N26" s="656"/>
      <c r="O26" s="1638"/>
      <c r="P26" s="656"/>
      <c r="AK26" s="1744">
        <v>23</v>
      </c>
    </row>
    <row customHeight="1" ht="24">
      <c r="A27" s="2167"/>
      <c r="B27" s="2166" t="s">
        <v>756</v>
      </c>
      <c r="C27" s="2166" t="s">
        <v>757</v>
      </c>
      <c r="D27" s="2165" t="s">
        <v>708</v>
      </c>
      <c r="E27" s="2169" t="s">
        <v>719</v>
      </c>
      <c r="F27" s="2169" t="s">
        <v>719</v>
      </c>
      <c r="H27" s="2134"/>
      <c r="I27" s="1777">
        <v>8</v>
      </c>
      <c r="J27" s="2135" t="s">
        <v>757</v>
      </c>
      <c r="K27" s="2131" t="s">
        <v>680</v>
      </c>
      <c r="L27" s="840"/>
      <c r="M27" s="670"/>
      <c r="N27" s="656"/>
      <c r="O27" s="1638"/>
      <c r="P27" s="656"/>
      <c r="AK27" s="1744">
        <v>23</v>
      </c>
    </row>
    <row customHeight="1" ht="35.699999999999996">
      <c r="A28" s="2167"/>
      <c r="B28" s="2166" t="s">
        <v>758</v>
      </c>
      <c r="C28" s="2166" t="s">
        <v>759</v>
      </c>
      <c r="D28" s="2165" t="s">
        <v>708</v>
      </c>
      <c r="E28" s="2169" t="s">
        <v>719</v>
      </c>
      <c r="F28" s="2169" t="s">
        <v>719</v>
      </c>
      <c r="H28" s="2134"/>
      <c r="I28" s="1788">
        <v>9</v>
      </c>
      <c r="J28" s="2135" t="s">
        <v>760</v>
      </c>
      <c r="K28" s="2131" t="s">
        <v>651</v>
      </c>
      <c r="L28" s="840"/>
      <c r="M28" s="670"/>
      <c r="N28" s="656"/>
      <c r="O28" s="1638"/>
      <c r="P28" s="656"/>
      <c r="AK28" s="1744">
        <v>34</v>
      </c>
    </row>
    <row customHeight="1" ht="35.699999999999996">
      <c r="A29" s="2167"/>
      <c r="B29" s="2166" t="s">
        <v>761</v>
      </c>
      <c r="C29" s="2166" t="s">
        <v>762</v>
      </c>
      <c r="D29" s="2165" t="s">
        <v>708</v>
      </c>
      <c r="E29" s="2169" t="s">
        <v>719</v>
      </c>
      <c r="F29" s="2169" t="s">
        <v>719</v>
      </c>
      <c r="H29" s="2134"/>
      <c r="I29" s="1788">
        <v>10</v>
      </c>
      <c r="J29" s="2135" t="s">
        <v>763</v>
      </c>
      <c r="K29" s="2131" t="s">
        <v>651</v>
      </c>
      <c r="L29" s="840"/>
      <c r="M29" s="670"/>
      <c r="N29" s="656"/>
      <c r="O29" s="1638"/>
      <c r="P29" s="656"/>
      <c r="AK29" s="1744">
        <v>34</v>
      </c>
    </row>
    <row customHeight="1" ht="24">
      <c r="A30" s="2167"/>
      <c r="B30" s="2166" t="s">
        <v>764</v>
      </c>
      <c r="C30" s="2166" t="s">
        <v>765</v>
      </c>
      <c r="D30" s="2165" t="s">
        <v>708</v>
      </c>
      <c r="E30" s="2169" t="s">
        <v>719</v>
      </c>
      <c r="F30" s="2169" t="s">
        <v>719</v>
      </c>
      <c r="H30" s="2134"/>
      <c r="I30" s="1788">
        <v>11</v>
      </c>
      <c r="J30" s="2135" t="s">
        <v>765</v>
      </c>
      <c r="K30" s="2131" t="s">
        <v>681</v>
      </c>
      <c r="L30" s="2182"/>
      <c r="M30" s="1734"/>
      <c r="N30" s="656"/>
      <c r="O30" s="1638"/>
      <c r="P30" s="656"/>
      <c r="AK30" s="1744">
        <v>23</v>
      </c>
    </row>
    <row customHeight="1" ht="24">
      <c r="A31" s="2167"/>
      <c r="B31" s="2166" t="s">
        <v>766</v>
      </c>
      <c r="C31" s="2166" t="s">
        <v>767</v>
      </c>
      <c r="D31" s="2165" t="s">
        <v>708</v>
      </c>
      <c r="E31" s="2169" t="s">
        <v>719</v>
      </c>
      <c r="F31" s="2169" t="s">
        <v>719</v>
      </c>
      <c r="H31" s="2134"/>
      <c r="I31" s="1788">
        <v>12</v>
      </c>
      <c r="J31" s="2135" t="s">
        <v>767</v>
      </c>
      <c r="K31" s="2131" t="s">
        <v>681</v>
      </c>
      <c r="L31" s="2182"/>
      <c r="M31" s="1734"/>
      <c r="N31" s="656"/>
      <c r="O31" s="1638"/>
      <c r="P31" s="656"/>
      <c r="AK31" s="1744">
        <v>23</v>
      </c>
    </row>
    <row customHeight="1" ht="48.29999999999999">
      <c r="A32" s="2167"/>
      <c r="B32" s="2166" t="s">
        <v>768</v>
      </c>
      <c r="C32" s="2166" t="s">
        <v>769</v>
      </c>
      <c r="D32" s="2165" t="s">
        <v>708</v>
      </c>
      <c r="E32" s="2169" t="s">
        <v>719</v>
      </c>
      <c r="F32" s="2169" t="s">
        <v>719</v>
      </c>
      <c r="H32" s="2134"/>
      <c r="I32" s="1788">
        <v>13</v>
      </c>
      <c r="J32" s="2135" t="s">
        <v>770</v>
      </c>
      <c r="K32" s="2131" t="s">
        <v>691</v>
      </c>
      <c r="L32" s="840"/>
      <c r="M32" s="670"/>
      <c r="N32" s="656"/>
      <c r="O32" s="1638" t="s">
        <v>730</v>
      </c>
      <c r="P32" s="656"/>
      <c r="AK32" s="1744">
        <v>46</v>
      </c>
    </row>
    <row s="5467" customFormat="1" customHeight="1" ht="48.29999999999999">
      <c r="A33" s="2167"/>
      <c r="B33" s="2166" t="s">
        <v>771</v>
      </c>
      <c r="C33" s="2166" t="s">
        <v>772</v>
      </c>
      <c r="D33" s="2165" t="s">
        <v>708</v>
      </c>
      <c r="E33" s="2169" t="s">
        <v>719</v>
      </c>
      <c r="F33" s="2169" t="s">
        <v>719</v>
      </c>
      <c r="G33" s="1749"/>
      <c r="H33" s="2134"/>
      <c r="I33" s="1788">
        <v>14</v>
      </c>
      <c r="J33" s="2147" t="s">
        <v>773</v>
      </c>
      <c r="K33" s="2136" t="s">
        <v>774</v>
      </c>
      <c r="L33" s="840"/>
      <c r="M33" s="670"/>
      <c r="N33" s="656"/>
      <c r="O33" s="1638" t="s">
        <v>730</v>
      </c>
      <c r="P33" s="656"/>
      <c r="Q33" s="1749"/>
      <c r="R33" s="1749"/>
      <c r="W33" s="1749"/>
      <c r="Z33" s="657"/>
      <c r="AF33" s="1745"/>
      <c r="AG33" s="1745"/>
      <c r="AH33" s="1745"/>
      <c r="AI33" s="1745"/>
      <c r="AJ33" s="1745"/>
      <c r="AK33" s="1479">
        <v>46</v>
      </c>
    </row>
    <row customHeight="1" ht="108">
      <c r="A34" s="2167"/>
      <c r="B34" s="2166" t="s">
        <v>775</v>
      </c>
      <c r="C34" s="2166" t="s">
        <v>776</v>
      </c>
      <c r="D34" s="2165" t="s">
        <v>718</v>
      </c>
      <c r="E34" s="2169" t="s">
        <v>719</v>
      </c>
      <c r="F34" s="2169" t="s">
        <v>719</v>
      </c>
      <c r="G34" s="1749" t="s">
        <v>679</v>
      </c>
      <c r="H34" s="2134"/>
      <c r="I34" s="2145">
        <v>15</v>
      </c>
      <c r="J34" s="2146" t="s">
        <v>777</v>
      </c>
      <c r="K34" s="2131" t="s">
        <v>399</v>
      </c>
      <c r="L34" s="498"/>
      <c r="M34" s="1277"/>
      <c r="N34" s="656"/>
      <c r="O34" s="1638" t="s">
        <v>722</v>
      </c>
      <c r="P34" s="656"/>
      <c r="AK34" s="1744">
        <v>103</v>
      </c>
    </row>
    <row s="6074"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74"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74"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74"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74"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74"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74"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74"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74"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74"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74"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74"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74"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74"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74"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74"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74"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74"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74"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74"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74"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74"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74"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74"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74"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74"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74"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74"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74"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74"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74"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74"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74"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74"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74"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74"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74"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74"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74"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74"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74"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74"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74"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74"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74"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74"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74"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74"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74"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74"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74"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74"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74"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74"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74"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74"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74"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74"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74"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74"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74"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74"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74"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74"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74"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74"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74"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74"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74"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74"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74"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74"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74"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74"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74"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74"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74"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74"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74"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74"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74"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74"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74"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74"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74"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74"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74"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74"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74"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74"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74"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74"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74"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74"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74"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74"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74"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74"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74"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74"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74"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74"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74"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74"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74"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74"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74"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74"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74"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74"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74"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74"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74"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74"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74"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74"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74"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74"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74"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74"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74"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74"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74"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74"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74"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74"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74"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74"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74"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74"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74"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74"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74"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74"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74"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74"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74"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74"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74"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74"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74"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74"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74"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74"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74"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74"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74"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74"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74"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74"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74"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74"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74"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74"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74"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180</v>
      </c>
      <c r="C204" s="1100" t="s">
        <v>180</v>
      </c>
      <c r="D204" s="1100" t="s">
        <v>180</v>
      </c>
      <c r="E204" s="1100" t="s">
        <v>180</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5829B-55FD-207D-C054-0F7335B424F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7" width="10.57421875" hidden="1"/>
    <col min="5" max="5" style="6318" width="9.140625" hidden="1" customWidth="1"/>
    <col min="6" max="7" style="5467" width="9.140625" hidden="1" customWidth="1"/>
    <col min="8" max="8" style="6319" width="3.00390625" customWidth="1"/>
    <col min="9" max="9" style="5387" width="6.00390625" customWidth="1"/>
    <col min="10" max="10" style="5387" width="63.00390625" customWidth="1"/>
    <col min="11" max="11" style="5387" width="9.00390625" customWidth="1"/>
    <col min="12" max="12" style="5387" width="39.00390625" customWidth="1"/>
    <col min="13" max="13" style="5387" width="89.00390625" customWidth="1"/>
    <col min="14" max="14" style="5387" width="10.00390625" customWidth="1"/>
    <col min="15" max="16" style="5567" width="10.00390625" customWidth="1"/>
    <col min="17" max="22" style="5387" width="10.00390625" customWidth="1"/>
    <col min="23" max="23" style="5387" width="10.57421875" hidden="1"/>
  </cols>
  <sheetData>
    <row customHeight="1" ht="22.5" hidden="1">
      <c r="S1" s="368"/>
      <c r="T1" s="368"/>
      <c r="V1" s="368"/>
      <c r="W1" s="1744" t="s">
        <v>14</v>
      </c>
    </row>
    <row customHeight="1" ht="22.5" hidden="1">
      <c r="B2" s="2166" t="s">
        <v>778</v>
      </c>
      <c r="C2" s="2166" t="s">
        <v>779</v>
      </c>
      <c r="D2" s="2165" t="s">
        <v>718</v>
      </c>
      <c r="E2" s="2171">
        <f>I2-3</f>
        <v>-3</v>
      </c>
      <c r="F2" s="2171">
        <f>J2</f>
        <v>0</v>
      </c>
      <c r="H2" s="1843" t="s">
        <v>104</v>
      </c>
      <c r="I2" s="2137"/>
      <c r="J2" s="1795"/>
      <c r="K2" s="2131" t="s">
        <v>399</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780</v>
      </c>
      <c r="J5" s="2361"/>
      <c r="K5" s="2361"/>
      <c r="L5" s="2361"/>
      <c r="M5" s="379"/>
      <c r="W5" s="1744">
        <v>48</v>
      </c>
    </row>
    <row customHeight="1" ht="18">
      <c r="H6" s="489"/>
      <c r="I6" s="2362" t="str">
        <f>IF(org=0,"Не определено",org)</f>
        <v>КГУП "Примтеплоэнерго"</v>
      </c>
      <c r="J6" s="2362"/>
      <c r="K6" s="2362"/>
      <c r="L6" s="2362"/>
      <c r="M6" s="379"/>
      <c r="W6" s="1744">
        <v>17</v>
      </c>
    </row>
    <row customHeight="1" ht="14.699999999999998">
      <c r="H7" s="489"/>
      <c r="I7" s="570"/>
      <c r="J7" s="576"/>
      <c r="K7" s="576"/>
      <c r="L7" s="865"/>
      <c r="M7" s="306"/>
      <c r="W7" s="1744">
        <v>14</v>
      </c>
    </row>
    <row customHeight="1" ht="14.699999999999998">
      <c r="H8" s="489"/>
      <c r="I8" s="2499" t="s">
        <v>393</v>
      </c>
      <c r="J8" s="2500"/>
      <c r="K8" s="2500"/>
      <c r="L8" s="2501"/>
      <c r="M8" s="2502" t="s">
        <v>394</v>
      </c>
      <c r="W8" s="1744">
        <v>14</v>
      </c>
    </row>
    <row customHeight="1" ht="35.699999999999996">
      <c r="E9" s="2164" t="s">
        <v>709</v>
      </c>
      <c r="F9" s="2164" t="s">
        <v>715</v>
      </c>
      <c r="H9" s="489"/>
      <c r="I9" s="2138" t="s">
        <v>88</v>
      </c>
      <c r="J9" s="2139" t="s">
        <v>395</v>
      </c>
      <c r="K9" s="2177" t="s">
        <v>657</v>
      </c>
      <c r="L9" s="2178" t="s">
        <v>396</v>
      </c>
      <c r="M9" s="2502"/>
      <c r="W9" s="1744">
        <v>34</v>
      </c>
    </row>
    <row customHeight="1" ht="35.699999999999996">
      <c r="B10" s="2166" t="s">
        <v>781</v>
      </c>
      <c r="C10" s="2166" t="s">
        <v>782</v>
      </c>
      <c r="D10" s="2165" t="s">
        <v>718</v>
      </c>
      <c r="E10" s="2169" t="s">
        <v>719</v>
      </c>
      <c r="F10" s="2169" t="s">
        <v>719</v>
      </c>
      <c r="H10" s="489"/>
      <c r="I10" s="2137" t="s">
        <v>136</v>
      </c>
      <c r="J10" s="1999" t="s">
        <v>783</v>
      </c>
      <c r="K10" s="2131" t="s">
        <v>399</v>
      </c>
      <c r="L10" s="931"/>
      <c r="M10" s="410" t="s">
        <v>784</v>
      </c>
      <c r="W10" s="1744">
        <v>34</v>
      </c>
    </row>
    <row customHeight="1" ht="50.25">
      <c r="B11" s="2166" t="s">
        <v>785</v>
      </c>
      <c r="C11" s="2166" t="s">
        <v>786</v>
      </c>
      <c r="D11" s="2165" t="s">
        <v>718</v>
      </c>
      <c r="E11" s="2169" t="s">
        <v>719</v>
      </c>
      <c r="F11" s="2169" t="s">
        <v>719</v>
      </c>
      <c r="H11" s="489"/>
      <c r="I11" s="2137" t="s">
        <v>103</v>
      </c>
      <c r="J11" s="1999" t="s">
        <v>787</v>
      </c>
      <c r="K11" s="2131" t="s">
        <v>399</v>
      </c>
      <c r="L11" s="931"/>
      <c r="M11" s="410" t="s">
        <v>784</v>
      </c>
      <c r="W11" s="1744">
        <v>48</v>
      </c>
    </row>
    <row customHeight="1" ht="48.29999999999999">
      <c r="B12" s="2166" t="s">
        <v>788</v>
      </c>
      <c r="C12" s="2166" t="s">
        <v>789</v>
      </c>
      <c r="D12" s="2165" t="s">
        <v>718</v>
      </c>
      <c r="E12" s="2169" t="s">
        <v>719</v>
      </c>
      <c r="F12" s="2169" t="s">
        <v>719</v>
      </c>
      <c r="H12" s="1801"/>
      <c r="I12" s="2137" t="s">
        <v>90</v>
      </c>
      <c r="J12" s="2144" t="s">
        <v>790</v>
      </c>
      <c r="K12" s="2131" t="s">
        <v>399</v>
      </c>
      <c r="L12" s="931"/>
      <c r="M12" s="410" t="s">
        <v>791</v>
      </c>
      <c r="N12" s="1737"/>
      <c r="P12" s="1744"/>
      <c r="W12" s="1744">
        <v>46</v>
      </c>
    </row>
    <row customHeight="1" ht="14.699999999999998">
      <c r="E13" s="456"/>
      <c r="H13" s="489"/>
      <c r="I13" s="460"/>
      <c r="J13" s="764" t="s">
        <v>792</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134</v>
      </c>
      <c r="F16" s="2168" t="s">
        <v>134</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80E85-826E-53C8-95AC-865416B79BD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126" width="10.7109375" hidden="1" customWidth="1"/>
    <col min="2" max="2" style="5467" width="16.8515625" hidden="1" customWidth="1"/>
    <col min="3" max="3" style="5468" width="5.57421875" hidden="1" customWidth="1"/>
    <col min="4" max="4" style="5387" width="3.00390625" customWidth="1"/>
    <col min="5" max="5" style="5387" width="7.00390625" customWidth="1"/>
    <col min="6" max="6" style="5387" width="56.00390625" customWidth="1"/>
    <col min="7" max="7" style="5387" width="10.00390625" customWidth="1"/>
    <col min="8" max="8" style="5387" width="40.7109375" hidden="1" customWidth="1"/>
    <col min="9" max="9" style="5387" width="40.00390625" customWidth="1"/>
    <col min="10" max="10" style="5387" width="102.00390625" customWidth="1"/>
    <col min="11" max="11" style="5467" width="9.00390625" customWidth="1"/>
    <col min="12" max="12" style="5468" width="5.00390625" customWidth="1"/>
    <col min="13" max="13" style="5468" width="3.00390625" customWidth="1"/>
    <col min="14" max="17" style="5467" width="3.00390625" customWidth="1"/>
    <col min="18" max="18" style="5468" width="10.00390625" customWidth="1"/>
    <col min="19" max="19" style="5467" width="34.00390625" customWidth="1"/>
    <col min="20" max="20" style="5467" width="9.00390625" customWidth="1"/>
    <col min="21" max="21" style="9127" width="8.00390625" customWidth="1"/>
    <col min="22" max="26" style="5467" width="8.00390625" customWidth="1"/>
    <col min="27" max="31" style="5351" width="8.00390625" customWidth="1"/>
    <col min="32" max="32" style="5387" width="10.421875" hidden="1" customWidth="1"/>
  </cols>
  <sheetData>
    <row s="5467" customFormat="1" customHeight="1" ht="22.5" hidden="1">
      <c r="A1" s="1100"/>
      <c r="C1" s="1749"/>
      <c r="D1" s="650"/>
      <c r="H1" s="1273">
        <v>4</v>
      </c>
      <c r="I1" s="1273">
        <v>4</v>
      </c>
      <c r="L1" s="1749"/>
      <c r="M1" s="1749"/>
      <c r="R1" s="1749"/>
      <c r="AF1" s="1273" t="s">
        <v>14</v>
      </c>
    </row>
    <row s="5467" customFormat="1" customHeight="1" ht="22.5" hidden="1">
      <c r="A2" s="1100"/>
      <c r="C2" s="1749"/>
      <c r="D2" s="651"/>
      <c r="E2" s="1750"/>
      <c r="F2" s="653"/>
      <c r="G2" s="1752" t="s">
        <v>643</v>
      </c>
      <c r="H2" s="654"/>
      <c r="I2" s="654"/>
      <c r="J2" s="655" t="s">
        <v>793</v>
      </c>
      <c r="K2" s="656"/>
      <c r="L2" s="1749"/>
      <c r="M2" s="1749"/>
      <c r="R2" s="1749"/>
      <c r="U2" s="657"/>
      <c r="AA2" s="1745"/>
      <c r="AB2" s="1745"/>
      <c r="AC2" s="1745"/>
      <c r="AD2" s="1745"/>
      <c r="AE2" s="1745"/>
      <c r="AF2" s="1273">
        <v>0</v>
      </c>
    </row>
    <row customHeight="1" ht="11.25" hidden="1">
      <c r="AF3" s="1744">
        <v>0</v>
      </c>
    </row>
    <row s="5351"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794</v>
      </c>
      <c r="F6" s="2420"/>
      <c r="G6" s="2420"/>
      <c r="H6" s="2420"/>
      <c r="I6" s="2420"/>
      <c r="J6" s="669"/>
      <c r="AF6" s="1744">
        <v>30</v>
      </c>
    </row>
    <row customHeight="1" ht="11.549999999999999">
      <c r="E7" s="2362" t="str">
        <f>IF(org=0,"Не определено",org)</f>
        <v>КГУП "Примтеплоэнерго"</v>
      </c>
      <c r="F7" s="2362"/>
      <c r="G7" s="2362"/>
      <c r="H7" s="2362"/>
      <c r="I7" s="2362"/>
      <c r="AF7" s="1744">
        <v>11</v>
      </c>
    </row>
    <row customHeight="1" ht="11.549999999999999">
      <c r="E8" s="1248"/>
      <c r="F8" s="1248"/>
      <c r="G8" s="1248"/>
      <c r="H8" s="1248"/>
      <c r="I8" s="1248"/>
      <c r="AF8" s="1744">
        <v>11</v>
      </c>
    </row>
    <row s="5468" customFormat="1" customHeight="1" ht="4.2">
      <c r="A9" s="1280"/>
      <c r="D9" s="1755"/>
      <c r="H9" s="1002"/>
      <c r="I9" s="1002" t="s">
        <v>149</v>
      </c>
      <c r="AF9" s="1749">
        <v>4</v>
      </c>
    </row>
    <row customHeight="1" ht="11.549999999999999">
      <c r="E10" s="824"/>
      <c r="F10" s="2480" t="s">
        <v>141</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655</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656</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393</v>
      </c>
      <c r="F13" s="2483"/>
      <c r="G13" s="2483"/>
      <c r="H13" s="1664"/>
      <c r="I13" s="1664"/>
      <c r="J13" s="2240"/>
      <c r="AF13" s="1744">
        <v>11</v>
      </c>
    </row>
    <row customHeight="1" ht="24">
      <c r="E14" s="1752" t="s">
        <v>88</v>
      </c>
      <c r="F14" s="1747" t="s">
        <v>395</v>
      </c>
      <c r="G14" s="1747" t="s">
        <v>657</v>
      </c>
      <c r="H14" s="1747" t="s">
        <v>396</v>
      </c>
      <c r="I14" s="1747" t="s">
        <v>396</v>
      </c>
      <c r="J14" s="2240"/>
      <c r="AF14" s="1744">
        <v>23</v>
      </c>
    </row>
    <row customHeight="1" ht="19.95">
      <c r="D15" s="1751"/>
      <c r="E15" s="1743" t="s">
        <v>136</v>
      </c>
      <c r="F15" s="820" t="s">
        <v>795</v>
      </c>
      <c r="G15" s="1759" t="s">
        <v>643</v>
      </c>
      <c r="H15" s="670"/>
      <c r="I15" s="670"/>
      <c r="J15" s="402" t="s">
        <v>796</v>
      </c>
      <c r="K15" s="656" t="s">
        <v>721</v>
      </c>
      <c r="AF15" s="1744">
        <v>19</v>
      </c>
    </row>
    <row customHeight="1" ht="35.699999999999996">
      <c r="D16" s="1751"/>
      <c r="E16" s="1743" t="s">
        <v>103</v>
      </c>
      <c r="F16" s="820" t="s">
        <v>797</v>
      </c>
      <c r="G16" s="1759" t="s">
        <v>643</v>
      </c>
      <c r="H16" s="671">
        <f>SUM(H17,H20:H32)</f>
        <v>0</v>
      </c>
      <c r="I16" s="671">
        <f>SUM(I17,I20,I23,I26,I29:I32)</f>
        <v>0</v>
      </c>
      <c r="J16" s="402" t="s">
        <v>798</v>
      </c>
      <c r="K16" s="656" t="s">
        <v>721</v>
      </c>
      <c r="AF16" s="1744">
        <v>34</v>
      </c>
    </row>
    <row customHeight="1" ht="19.95">
      <c r="D17" s="1751"/>
      <c r="E17" s="1777" t="s">
        <v>799</v>
      </c>
      <c r="F17" s="1067" t="s">
        <v>800</v>
      </c>
      <c r="G17" s="1756" t="s">
        <v>643</v>
      </c>
      <c r="H17" s="670"/>
      <c r="I17" s="670"/>
      <c r="J17" s="402" t="s">
        <v>801</v>
      </c>
      <c r="K17" s="656"/>
      <c r="AF17" s="1744">
        <v>19</v>
      </c>
    </row>
    <row customHeight="1" ht="24">
      <c r="D18" s="1751"/>
      <c r="E18" s="1777" t="s">
        <v>802</v>
      </c>
      <c r="F18" s="1763" t="s">
        <v>803</v>
      </c>
      <c r="G18" s="1756" t="s">
        <v>643</v>
      </c>
      <c r="H18" s="670"/>
      <c r="I18" s="670"/>
      <c r="J18" s="402" t="s">
        <v>804</v>
      </c>
      <c r="K18" s="656"/>
      <c r="AF18" s="1744">
        <v>23</v>
      </c>
    </row>
    <row customHeight="1" ht="35.699999999999996">
      <c r="D19" s="1751"/>
      <c r="E19" s="1777" t="s">
        <v>805</v>
      </c>
      <c r="F19" s="1763" t="s">
        <v>806</v>
      </c>
      <c r="G19" s="1756" t="s">
        <v>643</v>
      </c>
      <c r="H19" s="670"/>
      <c r="I19" s="670"/>
      <c r="J19" s="402"/>
      <c r="K19" s="656"/>
      <c r="AF19" s="1744">
        <v>34</v>
      </c>
    </row>
    <row customHeight="1" ht="19.95">
      <c r="D20" s="1751"/>
      <c r="E20" s="1777" t="s">
        <v>400</v>
      </c>
      <c r="F20" s="1067" t="s">
        <v>807</v>
      </c>
      <c r="G20" s="1756" t="s">
        <v>643</v>
      </c>
      <c r="H20" s="670"/>
      <c r="I20" s="670"/>
      <c r="J20" s="402" t="s">
        <v>808</v>
      </c>
      <c r="K20" s="656"/>
      <c r="AF20" s="1744">
        <v>19</v>
      </c>
    </row>
    <row customHeight="1" ht="19.95">
      <c r="D21" s="1751"/>
      <c r="E21" s="1777" t="s">
        <v>809</v>
      </c>
      <c r="F21" s="1763" t="s">
        <v>810</v>
      </c>
      <c r="G21" s="1756" t="s">
        <v>643</v>
      </c>
      <c r="H21" s="670"/>
      <c r="I21" s="670"/>
      <c r="J21" s="402"/>
      <c r="K21" s="656"/>
      <c r="AF21" s="1744">
        <v>19</v>
      </c>
    </row>
    <row customHeight="1" ht="19.95">
      <c r="D22" s="1751"/>
      <c r="E22" s="1777" t="s">
        <v>811</v>
      </c>
      <c r="F22" s="1763" t="s">
        <v>812</v>
      </c>
      <c r="G22" s="1756" t="s">
        <v>643</v>
      </c>
      <c r="H22" s="670"/>
      <c r="I22" s="670"/>
      <c r="J22" s="402"/>
      <c r="K22" s="656"/>
      <c r="AF22" s="1744">
        <v>19</v>
      </c>
    </row>
    <row customHeight="1" ht="24">
      <c r="D23" s="1751"/>
      <c r="E23" s="1777" t="s">
        <v>403</v>
      </c>
      <c r="F23" s="1067" t="s">
        <v>813</v>
      </c>
      <c r="G23" s="1756" t="s">
        <v>643</v>
      </c>
      <c r="H23" s="670"/>
      <c r="I23" s="670"/>
      <c r="J23" s="402" t="s">
        <v>814</v>
      </c>
      <c r="K23" s="656"/>
      <c r="AF23" s="1744">
        <v>23</v>
      </c>
    </row>
    <row customHeight="1" ht="19.95">
      <c r="D24" s="1751"/>
      <c r="E24" s="1777" t="s">
        <v>815</v>
      </c>
      <c r="F24" s="1763" t="s">
        <v>816</v>
      </c>
      <c r="G24" s="1756" t="s">
        <v>643</v>
      </c>
      <c r="H24" s="670"/>
      <c r="I24" s="670"/>
      <c r="J24" s="402"/>
      <c r="K24" s="656"/>
      <c r="AF24" s="1744">
        <v>19</v>
      </c>
    </row>
    <row customHeight="1" ht="35.699999999999996">
      <c r="D25" s="1751"/>
      <c r="E25" s="1777" t="s">
        <v>817</v>
      </c>
      <c r="F25" s="1763" t="s">
        <v>818</v>
      </c>
      <c r="G25" s="1756" t="s">
        <v>643</v>
      </c>
      <c r="H25" s="670"/>
      <c r="I25" s="670"/>
      <c r="J25" s="402"/>
      <c r="K25" s="656"/>
      <c r="AF25" s="1744">
        <v>34</v>
      </c>
    </row>
    <row customHeight="1" ht="24">
      <c r="D26" s="1751"/>
      <c r="E26" s="1777" t="s">
        <v>819</v>
      </c>
      <c r="F26" s="1067" t="s">
        <v>820</v>
      </c>
      <c r="G26" s="1756" t="s">
        <v>643</v>
      </c>
      <c r="H26" s="670"/>
      <c r="I26" s="670"/>
      <c r="J26" s="402" t="s">
        <v>821</v>
      </c>
      <c r="K26" s="656"/>
      <c r="AF26" s="1744">
        <v>23</v>
      </c>
    </row>
    <row customHeight="1" ht="19.95">
      <c r="D27" s="1751"/>
      <c r="E27" s="1788" t="s">
        <v>822</v>
      </c>
      <c r="F27" s="1763" t="s">
        <v>823</v>
      </c>
      <c r="G27" s="1767" t="s">
        <v>643</v>
      </c>
      <c r="H27" s="1789"/>
      <c r="I27" s="1789"/>
      <c r="J27" s="402"/>
      <c r="K27" s="656"/>
      <c r="AF27" s="1744">
        <v>19</v>
      </c>
    </row>
    <row customHeight="1" ht="19.95">
      <c r="D28" s="1751"/>
      <c r="E28" s="1788" t="s">
        <v>824</v>
      </c>
      <c r="F28" s="1763" t="s">
        <v>825</v>
      </c>
      <c r="G28" s="1767" t="s">
        <v>643</v>
      </c>
      <c r="H28" s="1789"/>
      <c r="I28" s="1789"/>
      <c r="J28" s="402"/>
      <c r="K28" s="656"/>
      <c r="AF28" s="1744">
        <v>19</v>
      </c>
    </row>
    <row customHeight="1" ht="19.95">
      <c r="D29" s="1751"/>
      <c r="E29" s="1788" t="s">
        <v>826</v>
      </c>
      <c r="F29" s="1067" t="s">
        <v>827</v>
      </c>
      <c r="G29" s="1767" t="s">
        <v>643</v>
      </c>
      <c r="H29" s="1789"/>
      <c r="I29" s="1789"/>
      <c r="J29" s="402"/>
      <c r="K29" s="656"/>
      <c r="AF29" s="1744">
        <v>19</v>
      </c>
    </row>
    <row customHeight="1" ht="19.95">
      <c r="D30" s="1751"/>
      <c r="E30" s="1788" t="s">
        <v>828</v>
      </c>
      <c r="F30" s="1067" t="s">
        <v>829</v>
      </c>
      <c r="G30" s="1767" t="s">
        <v>643</v>
      </c>
      <c r="H30" s="1789"/>
      <c r="I30" s="1789"/>
      <c r="J30" s="402"/>
      <c r="K30" s="656"/>
      <c r="AF30" s="1744">
        <v>19</v>
      </c>
    </row>
    <row customHeight="1" ht="19.95">
      <c r="D31" s="1751"/>
      <c r="E31" s="1788" t="s">
        <v>830</v>
      </c>
      <c r="F31" s="1067" t="s">
        <v>831</v>
      </c>
      <c r="G31" s="1767" t="s">
        <v>643</v>
      </c>
      <c r="H31" s="1789"/>
      <c r="I31" s="1789"/>
      <c r="J31" s="402"/>
      <c r="K31" s="656"/>
      <c r="AF31" s="1744">
        <v>19</v>
      </c>
    </row>
    <row s="5467" customFormat="1" customHeight="1" ht="35.699999999999996">
      <c r="A32" s="1100"/>
      <c r="C32" s="1749"/>
      <c r="D32" s="1751"/>
      <c r="E32" s="1788" t="s">
        <v>832</v>
      </c>
      <c r="F32" s="1067" t="s">
        <v>833</v>
      </c>
      <c r="G32" s="1757" t="s">
        <v>643</v>
      </c>
      <c r="H32" s="692">
        <f>SUM(H33:H34)</f>
        <v>0</v>
      </c>
      <c r="I32" s="692">
        <f>SUM(I33:I34)</f>
        <v>0</v>
      </c>
      <c r="J32" s="402" t="s">
        <v>834</v>
      </c>
      <c r="K32" s="656"/>
      <c r="L32" s="1749"/>
      <c r="M32" s="1749"/>
      <c r="R32" s="1749"/>
      <c r="U32" s="657"/>
      <c r="AA32" s="1745"/>
      <c r="AB32" s="1745"/>
      <c r="AC32" s="1745"/>
      <c r="AD32" s="1745"/>
      <c r="AE32" s="1745"/>
      <c r="AF32" s="1273">
        <v>34</v>
      </c>
    </row>
    <row s="5468" customFormat="1" customHeight="1" ht="1.05">
      <c r="A33" s="1280"/>
      <c r="D33" s="661"/>
      <c r="E33" s="915" t="str">
        <f>E32&amp;".0"</f>
        <v>2.8.0</v>
      </c>
      <c r="F33" s="1104"/>
      <c r="G33" s="664"/>
      <c r="H33" s="1105"/>
      <c r="I33" s="1105"/>
      <c r="J33" s="1106"/>
      <c r="AF33" s="1749">
        <v>1</v>
      </c>
    </row>
    <row s="5467" customFormat="1" customHeight="1" ht="19.95">
      <c r="A34" s="1100"/>
      <c r="C34" s="1749"/>
      <c r="D34" s="1746"/>
      <c r="E34" s="683"/>
      <c r="F34" s="1779" t="s">
        <v>668</v>
      </c>
      <c r="G34" s="685"/>
      <c r="H34" s="686"/>
      <c r="I34" s="686"/>
      <c r="J34" s="414" t="s">
        <v>835</v>
      </c>
      <c r="K34" s="656"/>
      <c r="L34" s="1749"/>
      <c r="M34" s="1749"/>
      <c r="R34" s="1749"/>
      <c r="U34" s="657"/>
      <c r="AA34" s="1745"/>
      <c r="AB34" s="1745"/>
      <c r="AC34" s="1745"/>
      <c r="AD34" s="1745"/>
      <c r="AE34" s="1745"/>
      <c r="AF34" s="1273">
        <v>19</v>
      </c>
    </row>
    <row customHeight="1" ht="60">
      <c r="D35" s="1751"/>
      <c r="E35" s="1788" t="s">
        <v>836</v>
      </c>
      <c r="F35" s="1067" t="s">
        <v>837</v>
      </c>
      <c r="G35" s="1767" t="s">
        <v>643</v>
      </c>
      <c r="H35" s="1789"/>
      <c r="I35" s="1789"/>
      <c r="J35" s="402" t="s">
        <v>838</v>
      </c>
      <c r="K35" s="656"/>
      <c r="AF35" s="1744">
        <v>57</v>
      </c>
    </row>
    <row s="5467" customFormat="1" customHeight="1" ht="24">
      <c r="A36" s="1102" t="s">
        <v>669</v>
      </c>
      <c r="C36" s="1749"/>
      <c r="D36" s="1751"/>
      <c r="E36" s="1777" t="s">
        <v>90</v>
      </c>
      <c r="F36" s="820" t="s">
        <v>839</v>
      </c>
      <c r="G36" s="1756" t="s">
        <v>643</v>
      </c>
      <c r="H36" s="670"/>
      <c r="I36" s="670"/>
      <c r="J36" s="402" t="s">
        <v>840</v>
      </c>
      <c r="K36" s="656"/>
      <c r="L36" s="1749"/>
      <c r="M36" s="1749"/>
      <c r="R36" s="1749"/>
      <c r="U36" s="657"/>
      <c r="AA36" s="1745"/>
      <c r="AB36" s="1745"/>
      <c r="AC36" s="1745"/>
      <c r="AD36" s="1745"/>
      <c r="AE36" s="1745"/>
      <c r="AF36" s="1273">
        <v>23</v>
      </c>
    </row>
    <row s="5467" customFormat="1" customHeight="1" ht="35.699999999999996">
      <c r="A37" s="1102"/>
      <c r="C37" s="1749"/>
      <c r="D37" s="1751"/>
      <c r="E37" s="1777" t="s">
        <v>417</v>
      </c>
      <c r="F37" s="1067" t="s">
        <v>841</v>
      </c>
      <c r="G37" s="1767"/>
      <c r="H37" s="670"/>
      <c r="I37" s="670"/>
      <c r="J37" s="402"/>
      <c r="K37" s="656"/>
      <c r="L37" s="1749"/>
      <c r="M37" s="1749"/>
      <c r="R37" s="1749"/>
      <c r="U37" s="657"/>
      <c r="AA37" s="1745"/>
      <c r="AB37" s="1745"/>
      <c r="AC37" s="1745"/>
      <c r="AD37" s="1745"/>
      <c r="AE37" s="1745"/>
      <c r="AF37" s="1273">
        <v>34</v>
      </c>
    </row>
    <row s="5467" customFormat="1" customHeight="1" ht="19.95">
      <c r="A38" s="1100"/>
      <c r="C38" s="1749"/>
      <c r="D38" s="688"/>
      <c r="E38" s="1777" t="s">
        <v>91</v>
      </c>
      <c r="F38" s="820" t="s">
        <v>842</v>
      </c>
      <c r="G38" s="1756" t="s">
        <v>643</v>
      </c>
      <c r="H38" s="670"/>
      <c r="I38" s="670"/>
      <c r="J38" s="402" t="s">
        <v>843</v>
      </c>
      <c r="K38" s="656"/>
      <c r="L38" s="1749"/>
      <c r="M38" s="1749"/>
      <c r="R38" s="1749"/>
      <c r="U38" s="657"/>
      <c r="AA38" s="1745"/>
      <c r="AB38" s="1745"/>
      <c r="AC38" s="1745"/>
      <c r="AD38" s="1745"/>
      <c r="AE38" s="1745"/>
      <c r="AF38" s="1273">
        <v>19</v>
      </c>
    </row>
    <row s="5467" customFormat="1" customHeight="1" ht="24">
      <c r="A39" s="1100"/>
      <c r="C39" s="1749"/>
      <c r="D39" s="688"/>
      <c r="E39" s="1777" t="s">
        <v>844</v>
      </c>
      <c r="F39" s="1067" t="s">
        <v>845</v>
      </c>
      <c r="G39" s="1767" t="s">
        <v>643</v>
      </c>
      <c r="H39" s="670"/>
      <c r="I39" s="670"/>
      <c r="J39" s="402" t="s">
        <v>846</v>
      </c>
      <c r="K39" s="656"/>
      <c r="L39" s="1749"/>
      <c r="M39" s="1749"/>
      <c r="R39" s="1749"/>
      <c r="U39" s="657"/>
      <c r="AA39" s="1745"/>
      <c r="AB39" s="1745"/>
      <c r="AC39" s="1745"/>
      <c r="AD39" s="1745"/>
      <c r="AE39" s="1745"/>
      <c r="AF39" s="1273">
        <v>23</v>
      </c>
    </row>
    <row s="5467" customFormat="1" customHeight="1" ht="24">
      <c r="A40" s="1100"/>
      <c r="C40" s="1749"/>
      <c r="D40" s="1751"/>
      <c r="E40" s="1777" t="s">
        <v>847</v>
      </c>
      <c r="F40" s="1763" t="s">
        <v>848</v>
      </c>
      <c r="G40" s="1756" t="s">
        <v>643</v>
      </c>
      <c r="H40" s="670"/>
      <c r="I40" s="670"/>
      <c r="J40" s="402" t="s">
        <v>849</v>
      </c>
      <c r="K40" s="656"/>
      <c r="L40" s="1749"/>
      <c r="M40" s="1749"/>
      <c r="R40" s="1749"/>
      <c r="U40" s="657"/>
      <c r="AA40" s="1745"/>
      <c r="AB40" s="1745"/>
      <c r="AC40" s="1745"/>
      <c r="AD40" s="1745"/>
      <c r="AE40" s="1745"/>
      <c r="AF40" s="1273">
        <v>23</v>
      </c>
    </row>
    <row s="5467" customFormat="1" customHeight="1" ht="24">
      <c r="A41" s="1100"/>
      <c r="C41" s="1749"/>
      <c r="D41" s="1751"/>
      <c r="E41" s="1777" t="s">
        <v>850</v>
      </c>
      <c r="F41" s="1763" t="s">
        <v>851</v>
      </c>
      <c r="G41" s="1756" t="s">
        <v>643</v>
      </c>
      <c r="H41" s="670"/>
      <c r="I41" s="670"/>
      <c r="J41" s="402" t="s">
        <v>852</v>
      </c>
      <c r="K41" s="656"/>
      <c r="L41" s="1749"/>
      <c r="M41" s="1749"/>
      <c r="R41" s="1749"/>
      <c r="U41" s="657"/>
      <c r="AA41" s="1745"/>
      <c r="AB41" s="1745"/>
      <c r="AC41" s="1745"/>
      <c r="AD41" s="1745"/>
      <c r="AE41" s="1745"/>
      <c r="AF41" s="1273">
        <v>23</v>
      </c>
    </row>
    <row s="5467" customFormat="1" customHeight="1" ht="24">
      <c r="A42" s="1100"/>
      <c r="C42" s="1749"/>
      <c r="D42" s="1751"/>
      <c r="E42" s="1777" t="s">
        <v>853</v>
      </c>
      <c r="F42" s="1763" t="s">
        <v>854</v>
      </c>
      <c r="G42" s="1756" t="s">
        <v>643</v>
      </c>
      <c r="H42" s="670"/>
      <c r="I42" s="670"/>
      <c r="J42" s="402" t="s">
        <v>855</v>
      </c>
      <c r="K42" s="656"/>
      <c r="L42" s="1749"/>
      <c r="M42" s="1749"/>
      <c r="R42" s="1749"/>
      <c r="U42" s="657"/>
      <c r="AA42" s="1745"/>
      <c r="AB42" s="1745"/>
      <c r="AC42" s="1745"/>
      <c r="AD42" s="1745"/>
      <c r="AE42" s="1745"/>
      <c r="AF42" s="1273">
        <v>23</v>
      </c>
    </row>
    <row s="5467" customFormat="1" customHeight="1" ht="35.699999999999996">
      <c r="A43" s="1100"/>
      <c r="C43" s="1749" t="s">
        <v>679</v>
      </c>
      <c r="D43" s="1751"/>
      <c r="E43" s="1777" t="s">
        <v>116</v>
      </c>
      <c r="F43" s="820" t="s">
        <v>720</v>
      </c>
      <c r="G43" s="1759" t="s">
        <v>856</v>
      </c>
      <c r="H43" s="514"/>
      <c r="I43" s="514"/>
      <c r="J43" s="402" t="s">
        <v>857</v>
      </c>
      <c r="K43" s="656"/>
      <c r="L43" s="1749"/>
      <c r="M43" s="1749"/>
      <c r="R43" s="1749"/>
      <c r="U43" s="657"/>
      <c r="AA43" s="1745"/>
      <c r="AB43" s="1745"/>
      <c r="AC43" s="1745"/>
      <c r="AD43" s="1745"/>
      <c r="AE43" s="1745"/>
      <c r="AF43" s="1273">
        <v>34</v>
      </c>
    </row>
    <row s="5467" customFormat="1" customHeight="1" ht="35.699999999999996">
      <c r="A44" s="1100"/>
      <c r="C44" s="1749"/>
      <c r="D44" s="1751"/>
      <c r="E44" s="1777" t="s">
        <v>92</v>
      </c>
      <c r="F44" s="820" t="s">
        <v>858</v>
      </c>
      <c r="G44" s="1756" t="s">
        <v>859</v>
      </c>
      <c r="H44" s="658"/>
      <c r="I44" s="658"/>
      <c r="J44" s="402" t="s">
        <v>860</v>
      </c>
      <c r="K44" s="656"/>
      <c r="L44" s="1749"/>
      <c r="M44" s="1749"/>
      <c r="R44" s="1749"/>
      <c r="U44" s="657"/>
      <c r="AA44" s="1745"/>
      <c r="AB44" s="1745"/>
      <c r="AC44" s="1745"/>
      <c r="AD44" s="1745"/>
      <c r="AE44" s="1745"/>
      <c r="AF44" s="1273">
        <v>34</v>
      </c>
    </row>
    <row s="5467" customFormat="1" customHeight="1" ht="24">
      <c r="A45" s="1100"/>
      <c r="C45" s="1749"/>
      <c r="D45" s="1751"/>
      <c r="E45" s="1777" t="s">
        <v>93</v>
      </c>
      <c r="F45" s="820" t="s">
        <v>861</v>
      </c>
      <c r="G45" s="1767" t="s">
        <v>862</v>
      </c>
      <c r="H45" s="658"/>
      <c r="I45" s="658"/>
      <c r="J45" s="402" t="s">
        <v>863</v>
      </c>
      <c r="K45" s="656"/>
      <c r="L45" s="1749"/>
      <c r="M45" s="1749"/>
      <c r="R45" s="1749"/>
      <c r="U45" s="657"/>
      <c r="AA45" s="1745"/>
      <c r="AB45" s="1745"/>
      <c r="AC45" s="1745"/>
      <c r="AD45" s="1745"/>
      <c r="AE45" s="1745"/>
      <c r="AF45" s="1273">
        <v>23</v>
      </c>
    </row>
    <row s="5467" customFormat="1" customHeight="1" ht="19.95">
      <c r="A46" s="1100"/>
      <c r="C46" s="1749"/>
      <c r="D46" s="1751"/>
      <c r="E46" s="1777" t="s">
        <v>129</v>
      </c>
      <c r="F46" s="820" t="s">
        <v>864</v>
      </c>
      <c r="G46" s="1756" t="s">
        <v>681</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74"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74"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74"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74"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74"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74"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74"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74"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74"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74"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74"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74"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74"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74"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74"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74"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74"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74"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74"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74"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74"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74"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74"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74"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74"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74"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74"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74"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74"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74"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74"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74"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74"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74"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74"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74"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74"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74"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74"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74"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74"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74"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74"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74"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74"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74"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74"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74"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74"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74"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74"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74"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74"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74"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74"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74"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74"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74"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74"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74"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74"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74"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74"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74"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74"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74"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74"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74"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74"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74"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74"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74"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74"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74"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74"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74"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74"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74"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74"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74"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74"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74"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74"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74"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74"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74"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74"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74"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74"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74"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74"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74"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74"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74"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74"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74"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74"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74"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74"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74"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74"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74"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74"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74"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74"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74"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74"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74"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74"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74"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74"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74"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74"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74"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74"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74"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74"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74"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74"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74"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74"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74"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74"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74"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74"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74"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74"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74"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74"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74"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74"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74"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74"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74"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74"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74"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74"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74"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74"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74"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74"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74"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74"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74"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74"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74"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74"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74"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74"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74"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74"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74"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74"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74"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74"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15E04-3014-B9A5-4528-F6C816B397F5}"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126" width="10.7109375" hidden="1" customWidth="1"/>
    <col min="2" max="2" style="5467" width="16.8515625" hidden="1" customWidth="1"/>
    <col min="3" max="3" style="5468" width="5.57421875" hidden="1" customWidth="1"/>
    <col min="4" max="4" style="5387" width="3.00390625" customWidth="1"/>
    <col min="5" max="5" style="5387" width="7.00390625" customWidth="1"/>
    <col min="6" max="6" style="5387" width="54.00390625" customWidth="1"/>
    <col min="7" max="7" style="5387" width="10.00390625" customWidth="1"/>
    <col min="8" max="8" style="5387" width="40.7109375" hidden="1" customWidth="1"/>
    <col min="9" max="9" style="5387" width="40.00390625" customWidth="1"/>
    <col min="10" max="10" style="5387" width="102.00390625" customWidth="1"/>
    <col min="11" max="11" style="5467" width="9.00390625" customWidth="1"/>
    <col min="12" max="12" style="5468" width="5.00390625" customWidth="1"/>
    <col min="13" max="13" style="5468" width="3.00390625" customWidth="1"/>
    <col min="14" max="17" style="5467" width="3.00390625" customWidth="1"/>
    <col min="18" max="18" style="5468" width="10.00390625" customWidth="1"/>
    <col min="19" max="19" style="5467" width="34.00390625" customWidth="1"/>
    <col min="20" max="20" style="5467" width="9.00390625" customWidth="1"/>
    <col min="21" max="21" style="9127" width="8.00390625" customWidth="1"/>
    <col min="22" max="26" style="5467" width="8.00390625" customWidth="1"/>
    <col min="27" max="31" style="5351" width="8.00390625" customWidth="1"/>
    <col min="32" max="32" style="5387" width="9.140625" hidden="1"/>
  </cols>
  <sheetData>
    <row s="5467" customFormat="1" customHeight="1" ht="22.5" hidden="1">
      <c r="A1" s="1100"/>
      <c r="C1" s="1749"/>
      <c r="D1" s="650"/>
      <c r="H1" s="1273">
        <v>4</v>
      </c>
      <c r="I1" s="1273">
        <v>4</v>
      </c>
      <c r="L1" s="1749"/>
      <c r="M1" s="1749"/>
      <c r="R1" s="1749"/>
      <c r="AF1" s="1273" t="s">
        <v>14</v>
      </c>
    </row>
    <row s="5467" customFormat="1" customHeight="1" ht="22.5" hidden="1">
      <c r="A2" s="1100"/>
      <c r="C2" s="1749"/>
      <c r="D2" s="651"/>
      <c r="E2" s="1771"/>
      <c r="F2" s="653"/>
      <c r="G2" s="1770" t="s">
        <v>643</v>
      </c>
      <c r="H2" s="654"/>
      <c r="I2" s="654"/>
      <c r="J2" s="655" t="s">
        <v>646</v>
      </c>
      <c r="K2" s="656"/>
      <c r="L2" s="1749"/>
      <c r="M2" s="1749"/>
      <c r="R2" s="1749"/>
      <c r="U2" s="657"/>
      <c r="AA2" s="1745"/>
      <c r="AB2" s="1745"/>
      <c r="AC2" s="1745"/>
      <c r="AD2" s="1745"/>
      <c r="AE2" s="1745"/>
      <c r="AF2" s="1273">
        <v>0</v>
      </c>
    </row>
    <row customHeight="1" ht="11.25" hidden="1">
      <c r="AF3" s="1744">
        <v>0</v>
      </c>
    </row>
    <row s="5351"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865</v>
      </c>
      <c r="F6" s="2361"/>
      <c r="G6" s="2361"/>
      <c r="H6" s="2361"/>
      <c r="I6" s="2361"/>
      <c r="J6" s="669"/>
      <c r="AF6" s="1744">
        <v>32</v>
      </c>
    </row>
    <row customHeight="1" ht="25.2">
      <c r="E7" s="2362" t="str">
        <f>IF(org=0,"Не определено",org)</f>
        <v>КГУП "Примтеплоэнерго"</v>
      </c>
      <c r="F7" s="2362"/>
      <c r="G7" s="2362"/>
      <c r="H7" s="2362"/>
      <c r="I7" s="2362"/>
      <c r="AF7" s="1744">
        <v>24</v>
      </c>
    </row>
    <row customHeight="1" ht="11.549999999999999">
      <c r="E8" s="1248"/>
      <c r="F8" s="1248"/>
      <c r="G8" s="1248"/>
      <c r="H8" s="1248"/>
      <c r="I8" s="1248"/>
      <c r="AF8" s="1744">
        <v>11</v>
      </c>
    </row>
    <row s="5468" customFormat="1" customHeight="1" ht="1.05">
      <c r="A9" s="1280"/>
      <c r="D9" s="1755"/>
      <c r="H9" s="1002"/>
      <c r="I9" s="1002" t="s">
        <v>149</v>
      </c>
      <c r="AF9" s="1749">
        <v>1</v>
      </c>
    </row>
    <row customHeight="1" ht="11.549999999999999">
      <c r="E10" s="824"/>
      <c r="F10" s="2480" t="s">
        <v>141</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655</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656</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393</v>
      </c>
      <c r="F13" s="2483"/>
      <c r="G13" s="2483"/>
      <c r="H13" s="1769"/>
      <c r="I13" s="1769"/>
      <c r="J13" s="2240"/>
      <c r="AF13" s="1744">
        <v>11</v>
      </c>
    </row>
    <row customHeight="1" ht="24">
      <c r="E14" s="1770" t="s">
        <v>88</v>
      </c>
      <c r="F14" s="1773" t="s">
        <v>395</v>
      </c>
      <c r="G14" s="1773" t="s">
        <v>657</v>
      </c>
      <c r="H14" s="1773" t="s">
        <v>396</v>
      </c>
      <c r="I14" s="1773" t="s">
        <v>396</v>
      </c>
      <c r="J14" s="2240"/>
      <c r="AF14" s="1744">
        <v>23</v>
      </c>
    </row>
    <row customHeight="1" ht="19.95">
      <c r="D15" s="1751"/>
      <c r="E15" s="1743" t="s">
        <v>136</v>
      </c>
      <c r="F15" s="820" t="s">
        <v>866</v>
      </c>
      <c r="G15" s="1770" t="s">
        <v>643</v>
      </c>
      <c r="H15" s="670"/>
      <c r="I15" s="670"/>
      <c r="J15" s="402" t="s">
        <v>867</v>
      </c>
      <c r="K15" s="656" t="s">
        <v>721</v>
      </c>
      <c r="AF15" s="1744">
        <v>19</v>
      </c>
    </row>
    <row customHeight="1" ht="24">
      <c r="D16" s="1751"/>
      <c r="E16" s="1743" t="s">
        <v>103</v>
      </c>
      <c r="F16" s="1778" t="s">
        <v>868</v>
      </c>
      <c r="G16" s="1770" t="s">
        <v>643</v>
      </c>
      <c r="H16" s="671">
        <f>SUM(H17,H20:H27)</f>
        <v>0</v>
      </c>
      <c r="I16" s="671">
        <f>SUM(I17,I20:I27)</f>
        <v>0</v>
      </c>
      <c r="J16" s="402" t="s">
        <v>869</v>
      </c>
      <c r="K16" s="656" t="s">
        <v>721</v>
      </c>
      <c r="AF16" s="1744">
        <v>23</v>
      </c>
    </row>
    <row customHeight="1" ht="35.699999999999996">
      <c r="D17" s="1751"/>
      <c r="E17" s="1777" t="s">
        <v>799</v>
      </c>
      <c r="F17" s="1780" t="s">
        <v>870</v>
      </c>
      <c r="G17" s="1767" t="s">
        <v>643</v>
      </c>
      <c r="H17" s="670"/>
      <c r="I17" s="670"/>
      <c r="J17" s="402" t="s">
        <v>871</v>
      </c>
      <c r="K17" s="656"/>
      <c r="AF17" s="1744">
        <v>34</v>
      </c>
    </row>
    <row customHeight="1" ht="19.95">
      <c r="D18" s="1751"/>
      <c r="E18" s="1777" t="s">
        <v>802</v>
      </c>
      <c r="F18" s="1781" t="s">
        <v>872</v>
      </c>
      <c r="G18" s="1767" t="s">
        <v>643</v>
      </c>
      <c r="H18" s="670"/>
      <c r="I18" s="670"/>
      <c r="J18" s="402"/>
      <c r="K18" s="656"/>
      <c r="AF18" s="1744">
        <v>19</v>
      </c>
    </row>
    <row customHeight="1" ht="24">
      <c r="D19" s="1751"/>
      <c r="E19" s="1777" t="s">
        <v>805</v>
      </c>
      <c r="F19" s="1781" t="s">
        <v>873</v>
      </c>
      <c r="G19" s="1767" t="s">
        <v>643</v>
      </c>
      <c r="H19" s="670"/>
      <c r="I19" s="670"/>
      <c r="J19" s="402"/>
      <c r="K19" s="656"/>
      <c r="AF19" s="1744">
        <v>23</v>
      </c>
    </row>
    <row customHeight="1" ht="35.699999999999996">
      <c r="D20" s="1751"/>
      <c r="E20" s="1777" t="s">
        <v>400</v>
      </c>
      <c r="F20" s="1780" t="s">
        <v>874</v>
      </c>
      <c r="G20" s="1767" t="s">
        <v>643</v>
      </c>
      <c r="H20" s="670"/>
      <c r="I20" s="670"/>
      <c r="J20" s="402"/>
      <c r="K20" s="656"/>
      <c r="AF20" s="1744">
        <v>34</v>
      </c>
    </row>
    <row customHeight="1" ht="48.29999999999999">
      <c r="D21" s="1751"/>
      <c r="E21" s="1777" t="s">
        <v>403</v>
      </c>
      <c r="F21" s="1780" t="s">
        <v>875</v>
      </c>
      <c r="G21" s="1767" t="s">
        <v>643</v>
      </c>
      <c r="H21" s="670"/>
      <c r="I21" s="670"/>
      <c r="J21" s="402"/>
      <c r="K21" s="656"/>
      <c r="AF21" s="1744">
        <v>46</v>
      </c>
    </row>
    <row customHeight="1" ht="60">
      <c r="D22" s="1751"/>
      <c r="E22" s="1777" t="s">
        <v>819</v>
      </c>
      <c r="F22" s="1780" t="s">
        <v>876</v>
      </c>
      <c r="G22" s="1767" t="s">
        <v>643</v>
      </c>
      <c r="H22" s="670"/>
      <c r="I22" s="670"/>
      <c r="J22" s="402"/>
      <c r="K22" s="656"/>
      <c r="AF22" s="1744">
        <v>57</v>
      </c>
    </row>
    <row customHeight="1" ht="35.699999999999996">
      <c r="D23" s="1751"/>
      <c r="E23" s="1777" t="s">
        <v>826</v>
      </c>
      <c r="F23" s="1780" t="s">
        <v>877</v>
      </c>
      <c r="G23" s="1767" t="s">
        <v>643</v>
      </c>
      <c r="H23" s="670"/>
      <c r="I23" s="670"/>
      <c r="J23" s="402"/>
      <c r="K23" s="656"/>
      <c r="AF23" s="1744">
        <v>34</v>
      </c>
    </row>
    <row customHeight="1" ht="35.699999999999996">
      <c r="D24" s="1751"/>
      <c r="E24" s="1777" t="s">
        <v>828</v>
      </c>
      <c r="F24" s="1780" t="s">
        <v>878</v>
      </c>
      <c r="G24" s="1767" t="s">
        <v>643</v>
      </c>
      <c r="H24" s="670"/>
      <c r="I24" s="670"/>
      <c r="J24" s="402"/>
      <c r="K24" s="656"/>
      <c r="AF24" s="1744">
        <v>34</v>
      </c>
    </row>
    <row customHeight="1" ht="24">
      <c r="D25" s="1751"/>
      <c r="E25" s="1777" t="s">
        <v>830</v>
      </c>
      <c r="F25" s="1780" t="s">
        <v>879</v>
      </c>
      <c r="G25" s="1767" t="s">
        <v>643</v>
      </c>
      <c r="H25" s="670"/>
      <c r="I25" s="670"/>
      <c r="J25" s="402"/>
      <c r="K25" s="656"/>
      <c r="AF25" s="1744">
        <v>23</v>
      </c>
    </row>
    <row customHeight="1" ht="76.5">
      <c r="D26" s="1751"/>
      <c r="E26" s="1777" t="s">
        <v>832</v>
      </c>
      <c r="F26" s="1780" t="s">
        <v>880</v>
      </c>
      <c r="G26" s="1767" t="s">
        <v>643</v>
      </c>
      <c r="H26" s="670"/>
      <c r="I26" s="670"/>
      <c r="J26" s="402"/>
      <c r="K26" s="656"/>
      <c r="AF26" s="1744">
        <v>73</v>
      </c>
    </row>
    <row s="5467" customFormat="1" customHeight="1" ht="35.699999999999996">
      <c r="A27" s="1100"/>
      <c r="C27" s="1749"/>
      <c r="D27" s="1751"/>
      <c r="E27" s="1742" t="s">
        <v>836</v>
      </c>
      <c r="F27" s="1741" t="s">
        <v>881</v>
      </c>
      <c r="G27" s="1768" t="s">
        <v>643</v>
      </c>
      <c r="H27" s="692">
        <f>SUM(H28:H29)</f>
        <v>0</v>
      </c>
      <c r="I27" s="692">
        <f>SUM(I28:I29)</f>
        <v>0</v>
      </c>
      <c r="J27" s="402" t="s">
        <v>834</v>
      </c>
      <c r="K27" s="656"/>
      <c r="L27" s="1749"/>
      <c r="M27" s="1749"/>
      <c r="R27" s="1749"/>
      <c r="U27" s="657"/>
      <c r="AA27" s="1745"/>
      <c r="AB27" s="1745"/>
      <c r="AC27" s="1745"/>
      <c r="AD27" s="1745"/>
      <c r="AE27" s="1745"/>
      <c r="AF27" s="1273">
        <v>34</v>
      </c>
    </row>
    <row s="5468" customFormat="1" customHeight="1" ht="1.05">
      <c r="A28" s="1280"/>
      <c r="D28" s="661"/>
      <c r="E28" s="915" t="str">
        <f>E27&amp;".0"</f>
        <v>2.9.0</v>
      </c>
      <c r="F28" s="1104"/>
      <c r="G28" s="664"/>
      <c r="H28" s="1105"/>
      <c r="I28" s="1105"/>
      <c r="J28" s="1106"/>
      <c r="AF28" s="1749">
        <v>1</v>
      </c>
    </row>
    <row s="5467" customFormat="1" customHeight="1" ht="19.95">
      <c r="A29" s="1100"/>
      <c r="C29" s="1749"/>
      <c r="D29" s="1746"/>
      <c r="E29" s="683"/>
      <c r="F29" s="1779" t="s">
        <v>668</v>
      </c>
      <c r="G29" s="685"/>
      <c r="H29" s="686"/>
      <c r="I29" s="686"/>
      <c r="J29" s="414" t="s">
        <v>835</v>
      </c>
      <c r="K29" s="656"/>
      <c r="L29" s="1749"/>
      <c r="M29" s="1749"/>
      <c r="R29" s="1749"/>
      <c r="U29" s="657"/>
      <c r="AA29" s="1745"/>
      <c r="AB29" s="1745"/>
      <c r="AC29" s="1745"/>
      <c r="AD29" s="1745"/>
      <c r="AE29" s="1745"/>
      <c r="AF29" s="1273">
        <v>19</v>
      </c>
    </row>
    <row s="5467" customFormat="1" customHeight="1" ht="24">
      <c r="A30" s="1100"/>
      <c r="C30" s="1749"/>
      <c r="D30" s="1751"/>
      <c r="E30" s="1777" t="s">
        <v>90</v>
      </c>
      <c r="F30" s="1774" t="s">
        <v>882</v>
      </c>
      <c r="G30" s="1767" t="s">
        <v>643</v>
      </c>
      <c r="H30" s="670"/>
      <c r="I30" s="670"/>
      <c r="J30" s="402"/>
      <c r="K30" s="656"/>
      <c r="L30" s="1749"/>
      <c r="M30" s="1749"/>
      <c r="R30" s="1749"/>
      <c r="U30" s="657"/>
      <c r="AA30" s="1745"/>
      <c r="AB30" s="1745"/>
      <c r="AC30" s="1745"/>
      <c r="AD30" s="1745"/>
      <c r="AE30" s="1745"/>
      <c r="AF30" s="1273">
        <v>23</v>
      </c>
    </row>
    <row s="5467" customFormat="1" customHeight="1" ht="35.699999999999996">
      <c r="A31" s="1100"/>
      <c r="C31" s="1749"/>
      <c r="D31" s="688"/>
      <c r="E31" s="1777" t="s">
        <v>91</v>
      </c>
      <c r="F31" s="1774" t="s">
        <v>883</v>
      </c>
      <c r="G31" s="1767" t="s">
        <v>643</v>
      </c>
      <c r="H31" s="670"/>
      <c r="I31" s="670"/>
      <c r="J31" s="402" t="s">
        <v>884</v>
      </c>
      <c r="K31" s="656"/>
      <c r="L31" s="1749"/>
      <c r="M31" s="1749"/>
      <c r="R31" s="1749"/>
      <c r="U31" s="657"/>
      <c r="AA31" s="1745"/>
      <c r="AB31" s="1745"/>
      <c r="AC31" s="1745"/>
      <c r="AD31" s="1745"/>
      <c r="AE31" s="1745"/>
      <c r="AF31" s="1273">
        <v>34</v>
      </c>
    </row>
    <row s="5467" customFormat="1" customHeight="1" ht="24">
      <c r="A32" s="1100"/>
      <c r="C32" s="1749"/>
      <c r="D32" s="1751"/>
      <c r="E32" s="1777" t="s">
        <v>844</v>
      </c>
      <c r="F32" s="803" t="s">
        <v>848</v>
      </c>
      <c r="G32" s="1767" t="s">
        <v>643</v>
      </c>
      <c r="H32" s="670"/>
      <c r="I32" s="670"/>
      <c r="J32" s="402" t="s">
        <v>885</v>
      </c>
      <c r="K32" s="656"/>
      <c r="L32" s="1749"/>
      <c r="M32" s="1749"/>
      <c r="R32" s="1749"/>
      <c r="U32" s="657"/>
      <c r="AA32" s="1745"/>
      <c r="AB32" s="1745"/>
      <c r="AC32" s="1745"/>
      <c r="AD32" s="1745"/>
      <c r="AE32" s="1745"/>
      <c r="AF32" s="1273">
        <v>23</v>
      </c>
    </row>
    <row s="5467" customFormat="1" customHeight="1" ht="24">
      <c r="A33" s="1100"/>
      <c r="C33" s="1749"/>
      <c r="D33" s="1751"/>
      <c r="E33" s="1777" t="s">
        <v>886</v>
      </c>
      <c r="F33" s="803" t="s">
        <v>887</v>
      </c>
      <c r="G33" s="1767" t="s">
        <v>643</v>
      </c>
      <c r="H33" s="670"/>
      <c r="I33" s="670"/>
      <c r="J33" s="402" t="s">
        <v>888</v>
      </c>
      <c r="K33" s="656"/>
      <c r="L33" s="1749"/>
      <c r="M33" s="1749"/>
      <c r="R33" s="1749"/>
      <c r="U33" s="657"/>
      <c r="AA33" s="1745"/>
      <c r="AB33" s="1745"/>
      <c r="AC33" s="1745"/>
      <c r="AD33" s="1745"/>
      <c r="AE33" s="1745"/>
      <c r="AF33" s="1273">
        <v>23</v>
      </c>
    </row>
    <row s="5467" customFormat="1" customHeight="1" ht="24">
      <c r="A34" s="1100"/>
      <c r="C34" s="1749"/>
      <c r="D34" s="1751"/>
      <c r="E34" s="1777" t="s">
        <v>889</v>
      </c>
      <c r="F34" s="803" t="s">
        <v>854</v>
      </c>
      <c r="G34" s="1767" t="s">
        <v>643</v>
      </c>
      <c r="H34" s="670"/>
      <c r="I34" s="670"/>
      <c r="J34" s="402" t="s">
        <v>890</v>
      </c>
      <c r="K34" s="656"/>
      <c r="L34" s="1749"/>
      <c r="M34" s="1749"/>
      <c r="R34" s="1749"/>
      <c r="U34" s="657"/>
      <c r="AA34" s="1745"/>
      <c r="AB34" s="1745"/>
      <c r="AC34" s="1745"/>
      <c r="AD34" s="1745"/>
      <c r="AE34" s="1745"/>
      <c r="AF34" s="1273">
        <v>23</v>
      </c>
    </row>
    <row s="5467" customFormat="1" customHeight="1" ht="35.699999999999996">
      <c r="A35" s="1100"/>
      <c r="C35" s="1749" t="s">
        <v>679</v>
      </c>
      <c r="D35" s="1751"/>
      <c r="E35" s="1777" t="s">
        <v>116</v>
      </c>
      <c r="F35" s="1774" t="s">
        <v>720</v>
      </c>
      <c r="G35" s="1770" t="s">
        <v>399</v>
      </c>
      <c r="H35" s="514"/>
      <c r="I35" s="514"/>
      <c r="J35" s="402" t="s">
        <v>891</v>
      </c>
      <c r="K35" s="656"/>
      <c r="L35" s="1749"/>
      <c r="M35" s="1749"/>
      <c r="R35" s="1749"/>
      <c r="U35" s="657"/>
      <c r="AA35" s="1745"/>
      <c r="AB35" s="1745"/>
      <c r="AC35" s="1745"/>
      <c r="AD35" s="1745"/>
      <c r="AE35" s="1745"/>
      <c r="AF35" s="1273">
        <v>34</v>
      </c>
    </row>
    <row s="5467" customFormat="1" customHeight="1" ht="35.699999999999996">
      <c r="A36" s="1100"/>
      <c r="C36" s="1749"/>
      <c r="D36" s="1751"/>
      <c r="E36" s="1777" t="s">
        <v>92</v>
      </c>
      <c r="F36" s="1774" t="s">
        <v>892</v>
      </c>
      <c r="G36" s="1767" t="s">
        <v>859</v>
      </c>
      <c r="H36" s="658"/>
      <c r="I36" s="658"/>
      <c r="J36" s="402" t="s">
        <v>860</v>
      </c>
      <c r="K36" s="656"/>
      <c r="L36" s="1749"/>
      <c r="M36" s="1749"/>
      <c r="R36" s="1749"/>
      <c r="U36" s="657"/>
      <c r="AA36" s="1745"/>
      <c r="AB36" s="1745"/>
      <c r="AC36" s="1745"/>
      <c r="AD36" s="1745"/>
      <c r="AE36" s="1745"/>
      <c r="AF36" s="1273">
        <v>34</v>
      </c>
    </row>
    <row s="5467" customFormat="1" customHeight="1" ht="24">
      <c r="A37" s="1100"/>
      <c r="C37" s="1749"/>
      <c r="D37" s="1751"/>
      <c r="E37" s="1777" t="s">
        <v>93</v>
      </c>
      <c r="F37" s="1774" t="s">
        <v>893</v>
      </c>
      <c r="G37" s="1767" t="s">
        <v>862</v>
      </c>
      <c r="H37" s="658"/>
      <c r="I37" s="658"/>
      <c r="J37" s="402" t="s">
        <v>863</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894</v>
      </c>
      <c r="F39" s="2398" t="s">
        <v>895</v>
      </c>
      <c r="G39" s="2398"/>
      <c r="H39" s="482"/>
      <c r="I39" s="482"/>
      <c r="J39" s="482"/>
      <c r="AF39" s="1744">
        <v>26</v>
      </c>
    </row>
    <row s="6074" customFormat="1" customHeight="1" ht="39.75">
      <c r="A40" s="1100"/>
      <c r="B40" s="1749"/>
      <c r="C40" s="1749"/>
      <c r="D40" s="464"/>
      <c r="F40" s="2398" t="s">
        <v>896</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74"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74"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74"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74"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74"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74"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74"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74"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74"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74"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74"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74"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74"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74"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74"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74"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74"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74"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74"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74"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74"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74"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74"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74"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74"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74"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74"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74"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74"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74"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74"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74"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74"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74"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74"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74"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74"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74"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74"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74"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74"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74"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74"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74"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74"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74"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74"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74"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74"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74"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74"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74"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74"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74"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74"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74"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74"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74"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74"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74"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74"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74"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74"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74"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74"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74"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74"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74"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74"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74"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74"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74"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74"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74"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74"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74"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74"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74"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74"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74"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74"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74"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74"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74"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74"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74"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74"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74"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74"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74"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74"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74"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74"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74"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74"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74"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74"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74"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74"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74"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74"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74"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74"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74"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74"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74"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74"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74"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74"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74"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74"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74"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74"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74"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74"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74"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74"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74"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74"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74"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74"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74"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74"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74"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74"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74"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74"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74"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74"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74"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74"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74"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74"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74"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74"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74"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74"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74"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74"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74"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74"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74"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74"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74"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74"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74"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74"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74"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74"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74"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74"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74"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74"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74"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74"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03241-7E7C-EE5F-11A3-904000ADF9A4}"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353" width="9.140625" hidden="1" customWidth="1"/>
    <col min="2" max="2" style="5468" width="3.57421875" hidden="1" customWidth="1"/>
    <col min="3" max="3" style="5387" width="3.00390625" customWidth="1"/>
    <col min="4" max="4" style="5387" width="7.00390625" customWidth="1"/>
    <col min="5" max="5" style="5387" width="69.00390625" customWidth="1"/>
    <col min="6" max="6" style="5387" width="10.00390625" customWidth="1"/>
    <col min="7" max="8" style="5387" width="44.00390625" hidden="1" customWidth="1"/>
    <col min="9" max="9" style="5387" width="44.00390625" customWidth="1"/>
    <col min="10" max="10" style="5387" width="43.00390625" customWidth="1"/>
    <col min="11" max="11" style="5387" width="73.00390625" customWidth="1"/>
    <col min="12" max="12" style="5387" width="3.00390625" customWidth="1"/>
    <col min="13" max="23" style="5387" width="10.00390625" customWidth="1"/>
    <col min="24" max="24" style="5387" width="10.57421875" hidden="1"/>
  </cols>
  <sheetData>
    <row s="5467"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387" customFormat="1" customHeight="1" ht="21">
      <c r="A4" s="1064"/>
      <c r="B4" s="624"/>
      <c r="D4" s="2327" t="str">
        <f>IF(org=0,"Не определено",org)</f>
        <v>КГУП "Примтеплоэнерго"</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149</v>
      </c>
      <c r="J6" s="1135"/>
      <c r="X6" s="618">
        <v>1</v>
      </c>
    </row>
    <row customHeight="1" ht="11.549999999999999">
      <c r="D7" s="824"/>
      <c r="E7" s="2480" t="s">
        <v>141</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655</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656</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7" customFormat="1" customHeight="1" ht="11.549999999999999">
      <c r="A10" s="1134"/>
      <c r="B10" s="624"/>
      <c r="D10" s="2214" t="s">
        <v>393</v>
      </c>
      <c r="E10" s="2215"/>
      <c r="F10" s="2215"/>
      <c r="G10" s="2215"/>
      <c r="H10" s="2215"/>
      <c r="I10" s="2215"/>
      <c r="J10" s="2216"/>
      <c r="K10" s="2312"/>
      <c r="L10" s="622"/>
      <c r="X10" s="871">
        <v>11</v>
      </c>
    </row>
    <row s="5387" customFormat="1" customHeight="1" ht="24">
      <c r="A11" s="2498"/>
      <c r="B11" s="2498"/>
      <c r="C11" s="770"/>
      <c r="D11" s="816" t="s">
        <v>88</v>
      </c>
      <c r="E11" s="818" t="s">
        <v>897</v>
      </c>
      <c r="F11" s="818" t="s">
        <v>657</v>
      </c>
      <c r="G11" s="578" t="s">
        <v>396</v>
      </c>
      <c r="H11" s="578" t="s">
        <v>483</v>
      </c>
      <c r="I11" s="920" t="s">
        <v>396</v>
      </c>
      <c r="J11" s="921" t="s">
        <v>483</v>
      </c>
      <c r="K11" s="2345"/>
      <c r="L11" s="771"/>
      <c r="X11" s="622">
        <v>23</v>
      </c>
    </row>
    <row s="5468" customFormat="1" customHeight="1" ht="10.5">
      <c r="A12" s="1065"/>
      <c r="D12" s="1138" t="s">
        <v>136</v>
      </c>
      <c r="E12" s="1138" t="s">
        <v>103</v>
      </c>
      <c r="F12" s="1138" t="s">
        <v>90</v>
      </c>
      <c r="G12" s="1139" t="str">
        <f>G1&amp;".1"</f>
        <v>4.1</v>
      </c>
      <c r="H12" s="1139" t="str">
        <f>G1&amp;".2"</f>
        <v>4.2</v>
      </c>
      <c r="I12" s="1139" t="str">
        <f>I1&amp;".1"</f>
        <v>4.1</v>
      </c>
      <c r="J12" s="1139" t="str">
        <f>I1&amp;".2"</f>
        <v>4.2</v>
      </c>
      <c r="K12" s="1139"/>
      <c r="X12" s="624">
        <v>10</v>
      </c>
    </row>
    <row customHeight="1" ht="22.5" hidden="1">
      <c r="A13" s="2505" t="s">
        <v>898</v>
      </c>
      <c r="D13" s="1066" t="s">
        <v>136</v>
      </c>
      <c r="E13" s="392" t="s">
        <v>899</v>
      </c>
      <c r="F13" s="773" t="s">
        <v>900</v>
      </c>
      <c r="G13" s="670"/>
      <c r="H13" s="774"/>
      <c r="I13" s="670"/>
      <c r="J13" s="774"/>
      <c r="K13" s="402" t="s">
        <v>901</v>
      </c>
      <c r="L13" s="833"/>
      <c r="X13" s="618">
        <v>0</v>
      </c>
    </row>
    <row customHeight="1" ht="22.5" hidden="1">
      <c r="A14" s="2505"/>
      <c r="D14" s="652" t="s">
        <v>103</v>
      </c>
      <c r="E14" s="392" t="s">
        <v>902</v>
      </c>
      <c r="F14" s="773" t="s">
        <v>903</v>
      </c>
      <c r="G14" s="670"/>
      <c r="H14" s="775"/>
      <c r="I14" s="670"/>
      <c r="J14" s="775"/>
      <c r="K14" s="402" t="s">
        <v>904</v>
      </c>
      <c r="L14" s="833"/>
      <c r="X14" s="618">
        <v>0</v>
      </c>
    </row>
    <row s="5387" customFormat="1" customHeight="1" ht="78.75" hidden="1">
      <c r="A15" s="2505"/>
      <c r="B15" s="624"/>
      <c r="D15" s="1066" t="s">
        <v>90</v>
      </c>
      <c r="E15" s="820" t="s">
        <v>905</v>
      </c>
      <c r="F15" s="1063" t="s">
        <v>399</v>
      </c>
      <c r="G15" s="1063" t="s">
        <v>399</v>
      </c>
      <c r="H15" s="219"/>
      <c r="I15" s="1063" t="s">
        <v>399</v>
      </c>
      <c r="J15" s="219"/>
      <c r="K15" s="402" t="s">
        <v>906</v>
      </c>
      <c r="L15" s="833"/>
      <c r="X15" s="871">
        <v>0</v>
      </c>
    </row>
    <row s="5387" customFormat="1" customHeight="1" ht="22.5" hidden="1">
      <c r="A16" s="2505"/>
      <c r="B16" s="624"/>
      <c r="D16" s="1066" t="s">
        <v>417</v>
      </c>
      <c r="E16" s="1067" t="s">
        <v>907</v>
      </c>
      <c r="F16" s="1063" t="s">
        <v>908</v>
      </c>
      <c r="G16" s="930"/>
      <c r="H16" s="219"/>
      <c r="I16" s="930"/>
      <c r="J16" s="219"/>
      <c r="K16" s="402"/>
      <c r="L16" s="833"/>
      <c r="X16" s="871">
        <v>0</v>
      </c>
    </row>
    <row s="5387" customFormat="1" customHeight="1" ht="22.5" hidden="1">
      <c r="A17" s="2505"/>
      <c r="B17" s="624"/>
      <c r="D17" s="1066" t="s">
        <v>425</v>
      </c>
      <c r="E17" s="1067" t="s">
        <v>909</v>
      </c>
      <c r="F17" s="1063" t="s">
        <v>910</v>
      </c>
      <c r="G17" s="930"/>
      <c r="H17" s="219"/>
      <c r="I17" s="930"/>
      <c r="J17" s="219"/>
      <c r="K17" s="402"/>
      <c r="L17" s="833"/>
      <c r="X17" s="871">
        <v>0</v>
      </c>
    </row>
    <row s="5387" customFormat="1" customHeight="1" ht="33.75" hidden="1">
      <c r="A18" s="2505"/>
      <c r="B18" s="624"/>
      <c r="D18" s="1066" t="s">
        <v>427</v>
      </c>
      <c r="E18" s="1067" t="s">
        <v>911</v>
      </c>
      <c r="F18" s="1063" t="s">
        <v>662</v>
      </c>
      <c r="G18" s="793"/>
      <c r="H18" s="219"/>
      <c r="I18" s="793"/>
      <c r="J18" s="219"/>
      <c r="K18" s="402"/>
      <c r="L18" s="833"/>
      <c r="X18" s="871">
        <v>0</v>
      </c>
    </row>
    <row customHeight="1" ht="101.25" hidden="1">
      <c r="A19" s="2505"/>
      <c r="D19" s="1066" t="s">
        <v>91</v>
      </c>
      <c r="E19" s="392" t="s">
        <v>912</v>
      </c>
      <c r="F19" s="773" t="s">
        <v>637</v>
      </c>
      <c r="G19" s="776"/>
      <c r="H19" s="775"/>
      <c r="I19" s="1068"/>
      <c r="J19" s="775"/>
      <c r="K19" s="402" t="s">
        <v>913</v>
      </c>
      <c r="L19" s="833"/>
      <c r="X19" s="618">
        <v>0</v>
      </c>
    </row>
    <row s="5387" customFormat="1" customHeight="1" ht="18.75" hidden="1">
      <c r="A20" s="2505"/>
      <c r="C20" s="1069"/>
      <c r="D20" s="1066" t="s">
        <v>844</v>
      </c>
      <c r="E20" s="1067" t="s">
        <v>914</v>
      </c>
      <c r="F20" s="1063" t="s">
        <v>399</v>
      </c>
      <c r="G20" s="1063" t="s">
        <v>399</v>
      </c>
      <c r="H20" s="1062" t="s">
        <v>399</v>
      </c>
      <c r="I20" s="1063" t="s">
        <v>399</v>
      </c>
      <c r="J20" s="1062" t="s">
        <v>399</v>
      </c>
      <c r="K20" s="1061"/>
      <c r="L20" s="833"/>
      <c r="W20" s="788"/>
      <c r="X20" s="871">
        <v>0</v>
      </c>
    </row>
    <row s="5387" customFormat="1" customHeight="1" ht="33.75" hidden="1">
      <c r="A21" s="2505"/>
      <c r="C21" s="1069"/>
      <c r="D21" s="1066" t="s">
        <v>847</v>
      </c>
      <c r="E21" s="689" t="s">
        <v>915</v>
      </c>
      <c r="F21" s="1063" t="s">
        <v>916</v>
      </c>
      <c r="G21" s="793"/>
      <c r="H21" s="219"/>
      <c r="I21" s="793"/>
      <c r="J21" s="219"/>
      <c r="K21" s="1061"/>
      <c r="L21" s="833"/>
      <c r="W21" s="788"/>
      <c r="X21" s="871">
        <v>0</v>
      </c>
    </row>
    <row s="5387" customFormat="1" customHeight="1" ht="33.75" hidden="1">
      <c r="A22" s="2505"/>
      <c r="C22" s="1069"/>
      <c r="D22" s="1066" t="s">
        <v>850</v>
      </c>
      <c r="E22" s="689" t="s">
        <v>917</v>
      </c>
      <c r="F22" s="1063" t="s">
        <v>918</v>
      </c>
      <c r="G22" s="793"/>
      <c r="H22" s="219"/>
      <c r="I22" s="793"/>
      <c r="J22" s="219"/>
      <c r="K22" s="1061"/>
      <c r="L22" s="833"/>
      <c r="W22" s="788"/>
      <c r="X22" s="871">
        <v>0</v>
      </c>
    </row>
    <row s="5387" customFormat="1" customHeight="1" ht="22.5" hidden="1">
      <c r="A23" s="2505"/>
      <c r="C23" s="1069"/>
      <c r="D23" s="1066" t="s">
        <v>886</v>
      </c>
      <c r="E23" s="1067" t="s">
        <v>919</v>
      </c>
      <c r="F23" s="1063" t="s">
        <v>399</v>
      </c>
      <c r="G23" s="1063" t="s">
        <v>399</v>
      </c>
      <c r="H23" s="1062" t="s">
        <v>399</v>
      </c>
      <c r="I23" s="1063" t="s">
        <v>399</v>
      </c>
      <c r="J23" s="1062" t="s">
        <v>399</v>
      </c>
      <c r="K23" s="1061"/>
      <c r="L23" s="833"/>
      <c r="W23" s="788"/>
      <c r="X23" s="871">
        <v>0</v>
      </c>
    </row>
    <row s="5387" customFormat="1" customHeight="1" ht="22.5" hidden="1">
      <c r="A24" s="2505"/>
      <c r="C24" s="1069"/>
      <c r="D24" s="1066" t="s">
        <v>920</v>
      </c>
      <c r="E24" s="689" t="s">
        <v>921</v>
      </c>
      <c r="F24" s="1063" t="s">
        <v>922</v>
      </c>
      <c r="G24" s="793"/>
      <c r="H24" s="799"/>
      <c r="I24" s="793"/>
      <c r="J24" s="799"/>
      <c r="K24" s="1061"/>
      <c r="L24" s="833"/>
      <c r="W24" s="788"/>
      <c r="X24" s="871">
        <v>0</v>
      </c>
    </row>
    <row s="5387" customFormat="1" customHeight="1" ht="22.5" hidden="1">
      <c r="A25" s="2505"/>
      <c r="C25" s="1069"/>
      <c r="D25" s="1066" t="s">
        <v>923</v>
      </c>
      <c r="E25" s="689" t="s">
        <v>924</v>
      </c>
      <c r="F25" s="1063" t="s">
        <v>399</v>
      </c>
      <c r="G25" s="1063" t="s">
        <v>399</v>
      </c>
      <c r="H25" s="1062" t="s">
        <v>399</v>
      </c>
      <c r="I25" s="1063" t="s">
        <v>399</v>
      </c>
      <c r="J25" s="1062" t="s">
        <v>399</v>
      </c>
      <c r="K25" s="1061"/>
      <c r="L25" s="833"/>
      <c r="W25" s="788"/>
      <c r="X25" s="871">
        <v>0</v>
      </c>
    </row>
    <row s="5387" customFormat="1" customHeight="1" ht="18.75" hidden="1">
      <c r="A26" s="2505"/>
      <c r="C26" s="1069"/>
      <c r="D26" s="1066" t="s">
        <v>925</v>
      </c>
      <c r="E26" s="666" t="s">
        <v>926</v>
      </c>
      <c r="F26" s="1063" t="s">
        <v>927</v>
      </c>
      <c r="G26" s="793"/>
      <c r="H26" s="799"/>
      <c r="I26" s="793"/>
      <c r="J26" s="799"/>
      <c r="K26" s="1061"/>
      <c r="L26" s="833"/>
      <c r="W26" s="788"/>
      <c r="X26" s="871">
        <v>0</v>
      </c>
    </row>
    <row s="5387" customFormat="1" customHeight="1" ht="18.75" hidden="1">
      <c r="A27" s="2505"/>
      <c r="C27" s="1069"/>
      <c r="D27" s="1066" t="s">
        <v>928</v>
      </c>
      <c r="E27" s="666" t="s">
        <v>929</v>
      </c>
      <c r="F27" s="1063" t="s">
        <v>930</v>
      </c>
      <c r="G27" s="793"/>
      <c r="H27" s="799"/>
      <c r="I27" s="793"/>
      <c r="J27" s="799"/>
      <c r="K27" s="1061"/>
      <c r="L27" s="833"/>
      <c r="W27" s="788"/>
      <c r="X27" s="871">
        <v>0</v>
      </c>
    </row>
    <row s="5387" customFormat="1" customHeight="1" ht="18.75" hidden="1">
      <c r="A28" s="2505"/>
      <c r="C28" s="1069"/>
      <c r="D28" s="1066" t="s">
        <v>931</v>
      </c>
      <c r="E28" s="689" t="s">
        <v>932</v>
      </c>
      <c r="F28" s="1063" t="s">
        <v>399</v>
      </c>
      <c r="G28" s="1063" t="s">
        <v>399</v>
      </c>
      <c r="H28" s="1062" t="s">
        <v>399</v>
      </c>
      <c r="I28" s="1063" t="s">
        <v>399</v>
      </c>
      <c r="J28" s="1062" t="s">
        <v>399</v>
      </c>
      <c r="K28" s="1061"/>
      <c r="L28" s="833"/>
      <c r="W28" s="788"/>
      <c r="X28" s="871">
        <v>0</v>
      </c>
    </row>
    <row s="5387" customFormat="1" customHeight="1" ht="18.75" hidden="1">
      <c r="A29" s="2505"/>
      <c r="C29" s="1069"/>
      <c r="D29" s="1066" t="s">
        <v>933</v>
      </c>
      <c r="E29" s="666" t="s">
        <v>926</v>
      </c>
      <c r="F29" s="1063" t="s">
        <v>934</v>
      </c>
      <c r="G29" s="793"/>
      <c r="H29" s="799"/>
      <c r="I29" s="793"/>
      <c r="J29" s="799"/>
      <c r="K29" s="1061"/>
      <c r="L29" s="833"/>
      <c r="W29" s="788"/>
      <c r="X29" s="871">
        <v>0</v>
      </c>
    </row>
    <row s="5387" customFormat="1" customHeight="1" ht="18.75" hidden="1">
      <c r="A30" s="2505"/>
      <c r="C30" s="1069"/>
      <c r="D30" s="1066" t="s">
        <v>935</v>
      </c>
      <c r="E30" s="666" t="s">
        <v>936</v>
      </c>
      <c r="F30" s="1063" t="s">
        <v>937</v>
      </c>
      <c r="G30" s="793"/>
      <c r="H30" s="799"/>
      <c r="I30" s="793"/>
      <c r="J30" s="799"/>
      <c r="K30" s="1061"/>
      <c r="L30" s="833"/>
      <c r="W30" s="788"/>
      <c r="X30" s="871">
        <v>0</v>
      </c>
    </row>
    <row customHeight="1" ht="126.75" hidden="1">
      <c r="A31" s="2505"/>
      <c r="D31" s="1066" t="s">
        <v>116</v>
      </c>
      <c r="E31" s="392" t="s">
        <v>938</v>
      </c>
      <c r="F31" s="773" t="s">
        <v>649</v>
      </c>
      <c r="G31" s="670"/>
      <c r="H31" s="775"/>
      <c r="I31" s="670"/>
      <c r="J31" s="775"/>
      <c r="K31" s="402" t="s">
        <v>939</v>
      </c>
      <c r="L31" s="833"/>
      <c r="X31" s="618">
        <v>0</v>
      </c>
    </row>
    <row customHeight="1" ht="56.25" hidden="1">
      <c r="A32" s="2505"/>
      <c r="D32" s="1066" t="s">
        <v>92</v>
      </c>
      <c r="E32" s="392" t="s">
        <v>940</v>
      </c>
      <c r="F32" s="652" t="s">
        <v>910</v>
      </c>
      <c r="G32" s="670"/>
      <c r="H32" s="775"/>
      <c r="I32" s="670"/>
      <c r="J32" s="775"/>
      <c r="K32" s="402" t="s">
        <v>941</v>
      </c>
      <c r="L32" s="833"/>
      <c r="X32" s="618">
        <v>0</v>
      </c>
    </row>
    <row customHeight="1" ht="11.25" hidden="1">
      <c r="A33" s="2505"/>
      <c r="E33" s="777"/>
      <c r="F33" s="294"/>
      <c r="G33" s="294"/>
      <c r="H33" s="294"/>
      <c r="I33" s="294"/>
      <c r="J33" s="294"/>
      <c r="K33" s="294"/>
      <c r="X33" s="618">
        <v>0</v>
      </c>
    </row>
    <row customHeight="1" ht="12.75" hidden="1">
      <c r="A34" s="2505"/>
      <c r="D34" s="178">
        <v>1</v>
      </c>
      <c r="E34" s="448" t="s">
        <v>942</v>
      </c>
      <c r="X34" s="618">
        <v>0</v>
      </c>
    </row>
    <row customHeight="1" ht="11.25" hidden="1">
      <c r="A35" s="2505"/>
      <c r="D35" s="482"/>
      <c r="E35" s="448" t="s">
        <v>943</v>
      </c>
      <c r="X35" s="618">
        <v>0</v>
      </c>
    </row>
    <row s="5387" customFormat="1" customHeight="1" ht="11.549999999999999">
      <c r="A36" s="1146"/>
      <c r="B36" s="631"/>
      <c r="D36" s="1147"/>
      <c r="E36" s="1148"/>
      <c r="X36" s="622">
        <v>11</v>
      </c>
    </row>
    <row s="5387" customFormat="1" customHeight="1" ht="22.5" hidden="1">
      <c r="A37" s="2505" t="s">
        <v>944</v>
      </c>
      <c r="B37" s="624"/>
      <c r="D37" s="1066">
        <v>1</v>
      </c>
      <c r="E37" s="820" t="s">
        <v>945</v>
      </c>
      <c r="F37" s="773" t="s">
        <v>900</v>
      </c>
      <c r="G37" s="670"/>
      <c r="H37" s="632"/>
      <c r="I37" s="670"/>
      <c r="J37" s="632"/>
      <c r="K37" s="402" t="s">
        <v>946</v>
      </c>
      <c r="X37" s="871">
        <v>0</v>
      </c>
    </row>
    <row s="5387" customFormat="1" customHeight="1" ht="22.5" hidden="1">
      <c r="A38" s="2505"/>
      <c r="B38" s="624"/>
      <c r="D38" s="782" t="s">
        <v>103</v>
      </c>
      <c r="E38" s="1145" t="s">
        <v>947</v>
      </c>
      <c r="F38" s="1149" t="s">
        <v>637</v>
      </c>
      <c r="G38" s="1149" t="s">
        <v>637</v>
      </c>
      <c r="H38" s="1143"/>
      <c r="I38" s="1149" t="s">
        <v>637</v>
      </c>
      <c r="J38" s="1143"/>
      <c r="K38" s="1144"/>
      <c r="X38" s="871">
        <v>0</v>
      </c>
    </row>
    <row s="5387" customFormat="1" customHeight="1" ht="33.75" hidden="1">
      <c r="A39" s="2505"/>
      <c r="B39" s="624"/>
      <c r="D39" s="778" t="s">
        <v>802</v>
      </c>
      <c r="E39" s="836" t="s">
        <v>948</v>
      </c>
      <c r="F39" s="773" t="s">
        <v>949</v>
      </c>
      <c r="G39" s="781"/>
      <c r="H39" s="1136"/>
      <c r="I39" s="781"/>
      <c r="J39" s="1136"/>
      <c r="K39" s="402" t="s">
        <v>950</v>
      </c>
      <c r="X39" s="871">
        <v>0</v>
      </c>
    </row>
    <row s="5387" customFormat="1" customHeight="1" ht="33.75" hidden="1">
      <c r="A40" s="2505"/>
      <c r="B40" s="624"/>
      <c r="D40" s="778" t="s">
        <v>805</v>
      </c>
      <c r="E40" s="836" t="s">
        <v>951</v>
      </c>
      <c r="F40" s="1140" t="s">
        <v>952</v>
      </c>
      <c r="G40" s="854"/>
      <c r="H40" s="1136"/>
      <c r="I40" s="854"/>
      <c r="J40" s="1136"/>
      <c r="K40" s="402" t="s">
        <v>953</v>
      </c>
      <c r="X40" s="871">
        <v>0</v>
      </c>
    </row>
    <row s="5387" customFormat="1" customHeight="1" ht="22.5" hidden="1">
      <c r="A41" s="2505"/>
      <c r="B41" s="624"/>
      <c r="D41" s="778" t="s">
        <v>90</v>
      </c>
      <c r="E41" s="835" t="s">
        <v>954</v>
      </c>
      <c r="F41" s="773" t="s">
        <v>637</v>
      </c>
      <c r="G41" s="773" t="s">
        <v>637</v>
      </c>
      <c r="H41" s="1137"/>
      <c r="I41" s="773" t="s">
        <v>637</v>
      </c>
      <c r="J41" s="1137"/>
      <c r="K41" s="415"/>
      <c r="X41" s="871">
        <v>0</v>
      </c>
    </row>
    <row s="5387" customFormat="1" customHeight="1" ht="45" hidden="1">
      <c r="A42" s="2505"/>
      <c r="B42" s="624"/>
      <c r="D42" s="778" t="s">
        <v>417</v>
      </c>
      <c r="E42" s="836" t="s">
        <v>955</v>
      </c>
      <c r="F42" s="773" t="s">
        <v>649</v>
      </c>
      <c r="G42" s="670"/>
      <c r="H42" s="1137"/>
      <c r="I42" s="670"/>
      <c r="J42" s="1137"/>
      <c r="K42" s="415" t="s">
        <v>956</v>
      </c>
      <c r="X42" s="871">
        <v>0</v>
      </c>
    </row>
    <row s="5387" customFormat="1" customHeight="1" ht="45" hidden="1">
      <c r="A43" s="2505"/>
      <c r="B43" s="624"/>
      <c r="D43" s="778" t="s">
        <v>425</v>
      </c>
      <c r="E43" s="780" t="s">
        <v>957</v>
      </c>
      <c r="F43" s="1141" t="s">
        <v>649</v>
      </c>
      <c r="G43" s="855"/>
      <c r="H43" s="1136"/>
      <c r="I43" s="855"/>
      <c r="J43" s="1136"/>
      <c r="K43" s="415" t="s">
        <v>958</v>
      </c>
      <c r="X43" s="871">
        <v>0</v>
      </c>
    </row>
    <row s="5387" customFormat="1" customHeight="1" ht="11.25" hidden="1">
      <c r="A44" s="2505"/>
      <c r="B44" s="624"/>
      <c r="D44" s="778" t="s">
        <v>91</v>
      </c>
      <c r="E44" s="779" t="s">
        <v>959</v>
      </c>
      <c r="F44" s="773" t="s">
        <v>949</v>
      </c>
      <c r="G44" s="781"/>
      <c r="H44" s="1136"/>
      <c r="I44" s="781"/>
      <c r="J44" s="1136"/>
      <c r="K44" s="402"/>
      <c r="X44" s="871">
        <v>0</v>
      </c>
    </row>
    <row s="5387" customFormat="1" customHeight="1" ht="11.25" hidden="1">
      <c r="A45" s="2505"/>
      <c r="B45" s="624"/>
      <c r="D45" s="778" t="s">
        <v>844</v>
      </c>
      <c r="E45" s="780" t="s">
        <v>960</v>
      </c>
      <c r="F45" s="773" t="s">
        <v>949</v>
      </c>
      <c r="G45" s="781"/>
      <c r="H45" s="1136"/>
      <c r="I45" s="781"/>
      <c r="J45" s="1136"/>
      <c r="K45" s="402"/>
      <c r="X45" s="871">
        <v>0</v>
      </c>
    </row>
    <row s="5387" customFormat="1" customHeight="1" ht="11.25" hidden="1">
      <c r="A46" s="2505"/>
      <c r="B46" s="624"/>
      <c r="D46" s="778" t="s">
        <v>886</v>
      </c>
      <c r="E46" s="780" t="s">
        <v>961</v>
      </c>
      <c r="F46" s="773" t="s">
        <v>949</v>
      </c>
      <c r="G46" s="781"/>
      <c r="H46" s="1136"/>
      <c r="I46" s="781"/>
      <c r="J46" s="1136"/>
      <c r="K46" s="402"/>
      <c r="X46" s="871">
        <v>0</v>
      </c>
    </row>
    <row s="5387" customFormat="1" customHeight="1" ht="11.25" hidden="1">
      <c r="A47" s="2505"/>
      <c r="B47" s="624"/>
      <c r="D47" s="778" t="s">
        <v>889</v>
      </c>
      <c r="E47" s="780" t="s">
        <v>962</v>
      </c>
      <c r="F47" s="773" t="s">
        <v>949</v>
      </c>
      <c r="G47" s="781"/>
      <c r="H47" s="1136"/>
      <c r="I47" s="781"/>
      <c r="J47" s="1136"/>
      <c r="K47" s="402"/>
      <c r="X47" s="871">
        <v>0</v>
      </c>
    </row>
    <row s="5387" customFormat="1" customHeight="1" ht="11.25" hidden="1">
      <c r="A48" s="2505"/>
      <c r="B48" s="624"/>
      <c r="D48" s="778" t="s">
        <v>963</v>
      </c>
      <c r="E48" s="784" t="s">
        <v>964</v>
      </c>
      <c r="F48" s="773" t="s">
        <v>949</v>
      </c>
      <c r="G48" s="781"/>
      <c r="H48" s="1136"/>
      <c r="I48" s="781"/>
      <c r="J48" s="1136"/>
      <c r="K48" s="402"/>
      <c r="X48" s="871">
        <v>0</v>
      </c>
    </row>
    <row s="5387" customFormat="1" customHeight="1" ht="11.25" hidden="1">
      <c r="A49" s="2505"/>
      <c r="B49" s="624"/>
      <c r="D49" s="778" t="s">
        <v>965</v>
      </c>
      <c r="E49" s="784" t="s">
        <v>966</v>
      </c>
      <c r="F49" s="773" t="s">
        <v>949</v>
      </c>
      <c r="G49" s="781"/>
      <c r="H49" s="1136"/>
      <c r="I49" s="781"/>
      <c r="J49" s="1136"/>
      <c r="K49" s="402"/>
      <c r="X49" s="871">
        <v>0</v>
      </c>
    </row>
    <row s="5387" customFormat="1" customHeight="1" ht="11.25" hidden="1">
      <c r="A50" s="2505"/>
      <c r="B50" s="624"/>
      <c r="D50" s="778" t="s">
        <v>967</v>
      </c>
      <c r="E50" s="780" t="s">
        <v>968</v>
      </c>
      <c r="F50" s="773" t="s">
        <v>949</v>
      </c>
      <c r="G50" s="781"/>
      <c r="H50" s="1136"/>
      <c r="I50" s="781"/>
      <c r="J50" s="1136"/>
      <c r="K50" s="402"/>
      <c r="X50" s="871">
        <v>0</v>
      </c>
    </row>
    <row s="5387" customFormat="1" customHeight="1" ht="11.25" hidden="1">
      <c r="A51" s="2505"/>
      <c r="B51" s="624"/>
      <c r="D51" s="778" t="s">
        <v>969</v>
      </c>
      <c r="E51" s="780" t="s">
        <v>970</v>
      </c>
      <c r="F51" s="773" t="s">
        <v>949</v>
      </c>
      <c r="G51" s="781"/>
      <c r="H51" s="1136"/>
      <c r="I51" s="781"/>
      <c r="J51" s="1136"/>
      <c r="K51" s="402"/>
      <c r="X51" s="871">
        <v>0</v>
      </c>
    </row>
    <row s="5387" customFormat="1" customHeight="1" ht="45" hidden="1">
      <c r="A52" s="2505"/>
      <c r="B52" s="624"/>
      <c r="D52" s="778" t="s">
        <v>116</v>
      </c>
      <c r="E52" s="779" t="s">
        <v>971</v>
      </c>
      <c r="F52" s="773" t="s">
        <v>949</v>
      </c>
      <c r="G52" s="781"/>
      <c r="H52" s="1136"/>
      <c r="I52" s="781"/>
      <c r="J52" s="1136"/>
      <c r="K52" s="402"/>
      <c r="X52" s="871">
        <v>0</v>
      </c>
    </row>
    <row s="5387" customFormat="1" customHeight="1" ht="11.25" hidden="1">
      <c r="A53" s="2505"/>
      <c r="B53" s="624"/>
      <c r="D53" s="778" t="s">
        <v>406</v>
      </c>
      <c r="E53" s="780" t="s">
        <v>960</v>
      </c>
      <c r="F53" s="773" t="s">
        <v>949</v>
      </c>
      <c r="G53" s="781"/>
      <c r="H53" s="1136"/>
      <c r="I53" s="781"/>
      <c r="J53" s="1136"/>
      <c r="K53" s="402"/>
      <c r="X53" s="871">
        <v>0</v>
      </c>
    </row>
    <row s="5387" customFormat="1" customHeight="1" ht="11.25" hidden="1">
      <c r="A54" s="2505"/>
      <c r="B54" s="624"/>
      <c r="D54" s="778" t="s">
        <v>972</v>
      </c>
      <c r="E54" s="780" t="s">
        <v>961</v>
      </c>
      <c r="F54" s="773" t="s">
        <v>949</v>
      </c>
      <c r="G54" s="781"/>
      <c r="H54" s="1136"/>
      <c r="I54" s="781"/>
      <c r="J54" s="1136"/>
      <c r="K54" s="402"/>
      <c r="X54" s="871">
        <v>0</v>
      </c>
    </row>
    <row s="5387" customFormat="1" customHeight="1" ht="11.25" hidden="1">
      <c r="A55" s="2505"/>
      <c r="B55" s="624"/>
      <c r="D55" s="778" t="s">
        <v>973</v>
      </c>
      <c r="E55" s="780" t="s">
        <v>962</v>
      </c>
      <c r="F55" s="773" t="s">
        <v>949</v>
      </c>
      <c r="G55" s="781"/>
      <c r="H55" s="1136"/>
      <c r="I55" s="781"/>
      <c r="J55" s="1136"/>
      <c r="K55" s="402"/>
      <c r="X55" s="871">
        <v>0</v>
      </c>
    </row>
    <row s="5387" customFormat="1" customHeight="1" ht="11.25" hidden="1">
      <c r="A56" s="2505"/>
      <c r="B56" s="624"/>
      <c r="D56" s="778" t="s">
        <v>974</v>
      </c>
      <c r="E56" s="784" t="s">
        <v>964</v>
      </c>
      <c r="F56" s="773" t="s">
        <v>949</v>
      </c>
      <c r="G56" s="781"/>
      <c r="H56" s="1136"/>
      <c r="I56" s="781"/>
      <c r="J56" s="1136"/>
      <c r="K56" s="402"/>
      <c r="X56" s="871">
        <v>0</v>
      </c>
    </row>
    <row s="5387" customFormat="1" customHeight="1" ht="11.25" hidden="1">
      <c r="A57" s="2505"/>
      <c r="B57" s="624"/>
      <c r="D57" s="778" t="s">
        <v>975</v>
      </c>
      <c r="E57" s="784" t="s">
        <v>966</v>
      </c>
      <c r="F57" s="773" t="s">
        <v>949</v>
      </c>
      <c r="G57" s="781"/>
      <c r="H57" s="1136"/>
      <c r="I57" s="781"/>
      <c r="J57" s="1136"/>
      <c r="K57" s="402"/>
      <c r="X57" s="871">
        <v>0</v>
      </c>
    </row>
    <row s="5387" customFormat="1" customHeight="1" ht="11.25" hidden="1">
      <c r="A58" s="2505"/>
      <c r="B58" s="624"/>
      <c r="D58" s="778" t="s">
        <v>976</v>
      </c>
      <c r="E58" s="780" t="s">
        <v>968</v>
      </c>
      <c r="F58" s="773" t="s">
        <v>949</v>
      </c>
      <c r="G58" s="781"/>
      <c r="H58" s="1136"/>
      <c r="I58" s="781"/>
      <c r="J58" s="1136"/>
      <c r="K58" s="402"/>
      <c r="X58" s="871">
        <v>0</v>
      </c>
    </row>
    <row s="5387" customFormat="1" customHeight="1" ht="11.25" hidden="1">
      <c r="A59" s="2505"/>
      <c r="B59" s="624"/>
      <c r="D59" s="778" t="s">
        <v>977</v>
      </c>
      <c r="E59" s="780" t="s">
        <v>970</v>
      </c>
      <c r="F59" s="773" t="s">
        <v>949</v>
      </c>
      <c r="G59" s="781"/>
      <c r="H59" s="1136"/>
      <c r="I59" s="781"/>
      <c r="J59" s="1136"/>
      <c r="K59" s="402"/>
      <c r="X59" s="871">
        <v>0</v>
      </c>
    </row>
    <row s="5387" customFormat="1" customHeight="1" ht="33.75" hidden="1">
      <c r="A60" s="2505"/>
      <c r="B60" s="624"/>
      <c r="D60" s="778" t="s">
        <v>92</v>
      </c>
      <c r="E60" s="779" t="s">
        <v>978</v>
      </c>
      <c r="F60" s="834" t="s">
        <v>649</v>
      </c>
      <c r="G60" s="855"/>
      <c r="H60" s="1136"/>
      <c r="I60" s="855"/>
      <c r="J60" s="1136"/>
      <c r="K60" s="415" t="s">
        <v>979</v>
      </c>
      <c r="X60" s="871">
        <v>0</v>
      </c>
    </row>
    <row s="5387" customFormat="1" customHeight="1" ht="33.75" hidden="1">
      <c r="A61" s="2505"/>
      <c r="B61" s="624"/>
      <c r="D61" s="778" t="s">
        <v>93</v>
      </c>
      <c r="E61" s="779" t="s">
        <v>980</v>
      </c>
      <c r="F61" s="839" t="s">
        <v>910</v>
      </c>
      <c r="G61" s="781"/>
      <c r="H61" s="1136"/>
      <c r="I61" s="781"/>
      <c r="J61" s="1136"/>
      <c r="K61" s="402"/>
      <c r="X61" s="871">
        <v>0</v>
      </c>
    </row>
    <row s="5387" customFormat="1" customHeight="1" ht="22.5" hidden="1">
      <c r="A62" s="2505"/>
      <c r="B62" s="624" t="s">
        <v>679</v>
      </c>
      <c r="D62" s="778" t="s">
        <v>129</v>
      </c>
      <c r="E62" s="779" t="s">
        <v>981</v>
      </c>
      <c r="F62" s="839" t="s">
        <v>399</v>
      </c>
      <c r="G62" s="495"/>
      <c r="H62" s="1136"/>
      <c r="I62" s="495"/>
      <c r="J62" s="1136"/>
      <c r="K62" s="402" t="s">
        <v>722</v>
      </c>
      <c r="X62" s="871">
        <v>0</v>
      </c>
    </row>
    <row s="5387" customFormat="1" customHeight="1" ht="45" hidden="1">
      <c r="A63" s="2505"/>
      <c r="B63" s="624" t="s">
        <v>679</v>
      </c>
      <c r="D63" s="778" t="s">
        <v>982</v>
      </c>
      <c r="E63" s="780" t="s">
        <v>983</v>
      </c>
      <c r="F63" s="834" t="s">
        <v>399</v>
      </c>
      <c r="G63" s="495"/>
      <c r="H63" s="1136"/>
      <c r="I63" s="495"/>
      <c r="J63" s="1136"/>
      <c r="K63" s="402" t="s">
        <v>722</v>
      </c>
      <c r="X63" s="871">
        <v>0</v>
      </c>
    </row>
    <row s="5387" customFormat="1" customHeight="1" ht="11.549999999999999">
      <c r="A64" s="1146"/>
      <c r="B64" s="631"/>
      <c r="D64" s="1147"/>
      <c r="E64" s="1148"/>
      <c r="X64" s="622">
        <v>11</v>
      </c>
    </row>
    <row s="5387" customFormat="1" customHeight="1" ht="22.5" hidden="1">
      <c r="A65" s="2505" t="s">
        <v>984</v>
      </c>
      <c r="B65" s="624"/>
      <c r="D65" s="778">
        <v>1</v>
      </c>
      <c r="E65" s="857" t="s">
        <v>985</v>
      </c>
      <c r="F65" s="853" t="s">
        <v>900</v>
      </c>
      <c r="G65" s="854"/>
      <c r="H65" s="1142"/>
      <c r="I65" s="854"/>
      <c r="J65" s="1142"/>
      <c r="K65" s="414" t="s">
        <v>986</v>
      </c>
      <c r="X65" s="871">
        <v>0</v>
      </c>
    </row>
    <row s="5387" customFormat="1" customHeight="1" ht="56.25" hidden="1">
      <c r="A66" s="2505"/>
      <c r="B66" s="624"/>
      <c r="D66" s="856" t="s">
        <v>103</v>
      </c>
      <c r="E66" s="820" t="s">
        <v>987</v>
      </c>
      <c r="F66" s="773" t="s">
        <v>637</v>
      </c>
      <c r="G66" s="773" t="s">
        <v>637</v>
      </c>
      <c r="H66" s="632"/>
      <c r="I66" s="773" t="s">
        <v>637</v>
      </c>
      <c r="J66" s="632"/>
      <c r="K66" s="402"/>
      <c r="X66" s="871">
        <v>0</v>
      </c>
    </row>
    <row s="5387" customFormat="1" customHeight="1" ht="33.75" hidden="1">
      <c r="A67" s="2505"/>
      <c r="B67" s="624"/>
      <c r="D67" s="856" t="s">
        <v>799</v>
      </c>
      <c r="E67" s="1067" t="s">
        <v>988</v>
      </c>
      <c r="F67" s="773" t="s">
        <v>952</v>
      </c>
      <c r="G67" s="840"/>
      <c r="H67" s="632"/>
      <c r="I67" s="840"/>
      <c r="J67" s="632"/>
      <c r="K67" s="402"/>
      <c r="X67" s="871">
        <v>0</v>
      </c>
    </row>
    <row s="5387" customFormat="1" customHeight="1" ht="22.5" hidden="1">
      <c r="A68" s="2505"/>
      <c r="B68" s="624"/>
      <c r="D68" s="856" t="s">
        <v>400</v>
      </c>
      <c r="E68" s="1067" t="s">
        <v>989</v>
      </c>
      <c r="F68" s="773" t="s">
        <v>952</v>
      </c>
      <c r="G68" s="840"/>
      <c r="H68" s="632"/>
      <c r="I68" s="840"/>
      <c r="J68" s="632"/>
      <c r="K68" s="402"/>
      <c r="X68" s="871">
        <v>0</v>
      </c>
    </row>
    <row s="5387" customFormat="1" customHeight="1" ht="22.5" hidden="1">
      <c r="A69" s="2505"/>
      <c r="B69" s="624"/>
      <c r="D69" s="856" t="s">
        <v>403</v>
      </c>
      <c r="E69" s="1067" t="s">
        <v>990</v>
      </c>
      <c r="F69" s="834" t="s">
        <v>649</v>
      </c>
      <c r="G69" s="855"/>
      <c r="H69" s="632"/>
      <c r="I69" s="855"/>
      <c r="J69" s="632"/>
      <c r="K69" s="402"/>
      <c r="X69" s="871">
        <v>0</v>
      </c>
    </row>
    <row s="5387" customFormat="1" customHeight="1" ht="22.5" hidden="1">
      <c r="A70" s="2505"/>
      <c r="B70" s="624"/>
      <c r="D70" s="856" t="s">
        <v>819</v>
      </c>
      <c r="E70" s="1067" t="s">
        <v>991</v>
      </c>
      <c r="F70" s="834" t="s">
        <v>649</v>
      </c>
      <c r="G70" s="855"/>
      <c r="H70" s="632"/>
      <c r="I70" s="855"/>
      <c r="J70" s="632"/>
      <c r="K70" s="402"/>
      <c r="X70" s="871">
        <v>0</v>
      </c>
    </row>
    <row s="5387" customFormat="1" customHeight="1" ht="22.5" hidden="1">
      <c r="A71" s="2505"/>
      <c r="B71" s="624"/>
      <c r="D71" s="778" t="s">
        <v>90</v>
      </c>
      <c r="E71" s="779" t="s">
        <v>992</v>
      </c>
      <c r="F71" s="773" t="s">
        <v>952</v>
      </c>
      <c r="G71" s="670"/>
      <c r="H71" s="1143"/>
      <c r="I71" s="670"/>
      <c r="J71" s="1143"/>
      <c r="K71" s="415"/>
      <c r="X71" s="871">
        <v>0</v>
      </c>
    </row>
    <row s="5387" customFormat="1" customHeight="1" ht="56.25" hidden="1">
      <c r="A72" s="2505"/>
      <c r="B72" s="624"/>
      <c r="D72" s="778" t="s">
        <v>91</v>
      </c>
      <c r="E72" s="779" t="s">
        <v>993</v>
      </c>
      <c r="F72" s="834" t="s">
        <v>649</v>
      </c>
      <c r="G72" s="855"/>
      <c r="H72" s="1136"/>
      <c r="I72" s="855"/>
      <c r="J72" s="1136"/>
      <c r="K72" s="415"/>
      <c r="X72" s="871">
        <v>0</v>
      </c>
    </row>
    <row s="5387" customFormat="1" customHeight="1" ht="33.75" hidden="1">
      <c r="A73" s="2505"/>
      <c r="B73" s="624"/>
      <c r="D73" s="778" t="s">
        <v>116</v>
      </c>
      <c r="E73" s="779" t="s">
        <v>994</v>
      </c>
      <c r="F73" s="839" t="s">
        <v>910</v>
      </c>
      <c r="G73" s="781"/>
      <c r="H73" s="1136"/>
      <c r="I73" s="781"/>
      <c r="J73" s="1136"/>
      <c r="K73" s="402"/>
      <c r="X73" s="871">
        <v>0</v>
      </c>
    </row>
    <row s="5387" customFormat="1" customHeight="1" ht="22.5" hidden="1">
      <c r="A74" s="2505"/>
      <c r="B74" s="624" t="s">
        <v>679</v>
      </c>
      <c r="D74" s="778" t="s">
        <v>92</v>
      </c>
      <c r="E74" s="779" t="s">
        <v>995</v>
      </c>
      <c r="F74" s="839" t="s">
        <v>399</v>
      </c>
      <c r="G74" s="495"/>
      <c r="H74" s="1136"/>
      <c r="I74" s="495"/>
      <c r="J74" s="1136"/>
      <c r="K74" s="402" t="s">
        <v>722</v>
      </c>
      <c r="X74" s="871">
        <v>0</v>
      </c>
    </row>
    <row s="5387" customFormat="1" customHeight="1" ht="45" hidden="1">
      <c r="A75" s="2505"/>
      <c r="B75" s="624" t="s">
        <v>679</v>
      </c>
      <c r="D75" s="778" t="s">
        <v>743</v>
      </c>
      <c r="E75" s="780" t="s">
        <v>996</v>
      </c>
      <c r="F75" s="834" t="s">
        <v>399</v>
      </c>
      <c r="G75" s="495"/>
      <c r="H75" s="1136"/>
      <c r="I75" s="495"/>
      <c r="J75" s="1136"/>
      <c r="K75" s="402" t="s">
        <v>722</v>
      </c>
      <c r="X75" s="871">
        <v>0</v>
      </c>
    </row>
    <row s="5387" customFormat="1" customHeight="1" ht="11.549999999999999">
      <c r="A76" s="1146"/>
      <c r="B76" s="631"/>
      <c r="D76" s="1147"/>
      <c r="E76" s="1148"/>
      <c r="X76" s="622">
        <v>11</v>
      </c>
    </row>
    <row s="5387" customFormat="1" customHeight="1" ht="11.25">
      <c r="A77" s="2505" t="s">
        <v>997</v>
      </c>
      <c r="B77" s="624"/>
      <c r="D77" s="778">
        <v>1</v>
      </c>
      <c r="E77" s="779" t="s">
        <v>998</v>
      </c>
      <c r="F77" s="834" t="s">
        <v>900</v>
      </c>
      <c r="G77" s="837"/>
      <c r="H77" s="1136"/>
      <c r="I77" s="837"/>
      <c r="J77" s="1136"/>
      <c r="K77" s="402" t="s">
        <v>999</v>
      </c>
      <c r="X77" s="871">
        <v>0</v>
      </c>
    </row>
    <row s="5387" customFormat="1" customHeight="1" ht="11.25">
      <c r="A78" s="2505"/>
      <c r="B78" s="624"/>
      <c r="D78" s="778" t="s">
        <v>103</v>
      </c>
      <c r="E78" s="779" t="s">
        <v>1000</v>
      </c>
      <c r="F78" s="834" t="s">
        <v>900</v>
      </c>
      <c r="G78" s="837"/>
      <c r="H78" s="1136"/>
      <c r="I78" s="837"/>
      <c r="J78" s="1136"/>
      <c r="K78" s="402" t="s">
        <v>1001</v>
      </c>
      <c r="X78" s="871">
        <v>0</v>
      </c>
    </row>
    <row s="5387" customFormat="1" customHeight="1" ht="22.5">
      <c r="A79" s="2505"/>
      <c r="B79" s="624"/>
      <c r="D79" s="778" t="s">
        <v>90</v>
      </c>
      <c r="E79" s="835" t="s">
        <v>1002</v>
      </c>
      <c r="F79" s="773" t="s">
        <v>949</v>
      </c>
      <c r="G79" s="837"/>
      <c r="H79" s="1136"/>
      <c r="I79" s="837"/>
      <c r="J79" s="1136"/>
      <c r="K79" s="402" t="s">
        <v>1003</v>
      </c>
      <c r="X79" s="871">
        <v>0</v>
      </c>
    </row>
    <row s="5387" customFormat="1" customHeight="1" ht="11.25">
      <c r="A80" s="2505"/>
      <c r="B80" s="624"/>
      <c r="D80" s="778" t="s">
        <v>417</v>
      </c>
      <c r="E80" s="836" t="s">
        <v>1004</v>
      </c>
      <c r="F80" s="773" t="s">
        <v>949</v>
      </c>
      <c r="G80" s="837"/>
      <c r="H80" s="1136"/>
      <c r="I80" s="837"/>
      <c r="J80" s="1136"/>
      <c r="K80" s="402"/>
      <c r="X80" s="871">
        <v>0</v>
      </c>
    </row>
    <row s="5387" customFormat="1" customHeight="1" ht="11.25">
      <c r="A81" s="2505"/>
      <c r="B81" s="624"/>
      <c r="D81" s="778" t="s">
        <v>425</v>
      </c>
      <c r="E81" s="836" t="s">
        <v>1005</v>
      </c>
      <c r="F81" s="773" t="s">
        <v>949</v>
      </c>
      <c r="G81" s="837"/>
      <c r="H81" s="1136"/>
      <c r="I81" s="837"/>
      <c r="J81" s="1136"/>
      <c r="K81" s="402"/>
      <c r="X81" s="871">
        <v>0</v>
      </c>
    </row>
    <row s="5387" customFormat="1" customHeight="1" ht="11.25">
      <c r="A82" s="2505"/>
      <c r="B82" s="624"/>
      <c r="D82" s="778" t="s">
        <v>427</v>
      </c>
      <c r="E82" s="836" t="s">
        <v>1006</v>
      </c>
      <c r="F82" s="773" t="s">
        <v>949</v>
      </c>
      <c r="G82" s="837"/>
      <c r="H82" s="1136"/>
      <c r="I82" s="837"/>
      <c r="J82" s="1136"/>
      <c r="K82" s="402"/>
      <c r="X82" s="871">
        <v>0</v>
      </c>
    </row>
    <row s="5387" customFormat="1" customHeight="1" ht="11.25">
      <c r="A83" s="2505"/>
      <c r="B83" s="624"/>
      <c r="D83" s="778" t="s">
        <v>429</v>
      </c>
      <c r="E83" s="836" t="s">
        <v>1007</v>
      </c>
      <c r="F83" s="773" t="s">
        <v>949</v>
      </c>
      <c r="G83" s="837"/>
      <c r="H83" s="1136"/>
      <c r="I83" s="837"/>
      <c r="J83" s="1136"/>
      <c r="K83" s="402"/>
      <c r="X83" s="871">
        <v>0</v>
      </c>
    </row>
    <row s="5387" customFormat="1" customHeight="1" ht="11.25">
      <c r="A84" s="2505"/>
      <c r="B84" s="624"/>
      <c r="D84" s="778" t="s">
        <v>1008</v>
      </c>
      <c r="E84" s="836" t="s">
        <v>1009</v>
      </c>
      <c r="F84" s="773" t="s">
        <v>949</v>
      </c>
      <c r="G84" s="837"/>
      <c r="H84" s="1136"/>
      <c r="I84" s="837"/>
      <c r="J84" s="1136"/>
      <c r="K84" s="402"/>
      <c r="X84" s="871">
        <v>0</v>
      </c>
    </row>
    <row s="5387" customFormat="1" customHeight="1" ht="11.25">
      <c r="A85" s="2505"/>
      <c r="B85" s="624"/>
      <c r="D85" s="778" t="s">
        <v>1010</v>
      </c>
      <c r="E85" s="836" t="s">
        <v>1011</v>
      </c>
      <c r="F85" s="773" t="s">
        <v>949</v>
      </c>
      <c r="G85" s="837"/>
      <c r="H85" s="1136"/>
      <c r="I85" s="837"/>
      <c r="J85" s="1136"/>
      <c r="K85" s="402"/>
      <c r="X85" s="871">
        <v>0</v>
      </c>
    </row>
    <row s="5387" customFormat="1" customHeight="1" ht="11.25">
      <c r="A86" s="2505"/>
      <c r="B86" s="624"/>
      <c r="D86" s="778" t="s">
        <v>1012</v>
      </c>
      <c r="E86" s="836" t="s">
        <v>1013</v>
      </c>
      <c r="F86" s="773" t="s">
        <v>949</v>
      </c>
      <c r="G86" s="837"/>
      <c r="H86" s="1136"/>
      <c r="I86" s="837"/>
      <c r="J86" s="1136"/>
      <c r="K86" s="402"/>
      <c r="X86" s="871">
        <v>0</v>
      </c>
    </row>
    <row s="5387" customFormat="1" customHeight="1" ht="45">
      <c r="A87" s="2505"/>
      <c r="B87" s="624"/>
      <c r="D87" s="778" t="s">
        <v>91</v>
      </c>
      <c r="E87" s="779" t="s">
        <v>1014</v>
      </c>
      <c r="F87" s="773" t="s">
        <v>949</v>
      </c>
      <c r="G87" s="837"/>
      <c r="H87" s="1136"/>
      <c r="I87" s="837"/>
      <c r="J87" s="1136"/>
      <c r="K87" s="402" t="s">
        <v>1015</v>
      </c>
      <c r="X87" s="871">
        <v>0</v>
      </c>
    </row>
    <row s="5387" customFormat="1" customHeight="1" ht="11.25">
      <c r="A88" s="2505"/>
      <c r="B88" s="624"/>
      <c r="D88" s="778" t="s">
        <v>844</v>
      </c>
      <c r="E88" s="836" t="s">
        <v>1004</v>
      </c>
      <c r="F88" s="773" t="s">
        <v>949</v>
      </c>
      <c r="G88" s="837"/>
      <c r="H88" s="1136"/>
      <c r="I88" s="837"/>
      <c r="J88" s="1136"/>
      <c r="K88" s="402"/>
      <c r="X88" s="871">
        <v>0</v>
      </c>
    </row>
    <row s="5387" customFormat="1" customHeight="1" ht="11.25">
      <c r="A89" s="2505"/>
      <c r="B89" s="624"/>
      <c r="D89" s="778" t="s">
        <v>886</v>
      </c>
      <c r="E89" s="836" t="s">
        <v>1005</v>
      </c>
      <c r="F89" s="773" t="s">
        <v>949</v>
      </c>
      <c r="G89" s="837"/>
      <c r="H89" s="1136"/>
      <c r="I89" s="837"/>
      <c r="J89" s="1136"/>
      <c r="K89" s="402"/>
      <c r="X89" s="871">
        <v>0</v>
      </c>
    </row>
    <row s="5387" customFormat="1" customHeight="1" ht="11.25">
      <c r="A90" s="2505"/>
      <c r="B90" s="624"/>
      <c r="D90" s="778" t="s">
        <v>889</v>
      </c>
      <c r="E90" s="836" t="s">
        <v>1006</v>
      </c>
      <c r="F90" s="773" t="s">
        <v>949</v>
      </c>
      <c r="G90" s="837"/>
      <c r="H90" s="1136"/>
      <c r="I90" s="837"/>
      <c r="J90" s="1136"/>
      <c r="K90" s="402"/>
      <c r="X90" s="871">
        <v>0</v>
      </c>
    </row>
    <row s="5387" customFormat="1" customHeight="1" ht="11.25">
      <c r="A91" s="2505"/>
      <c r="B91" s="624"/>
      <c r="D91" s="778" t="s">
        <v>967</v>
      </c>
      <c r="E91" s="836" t="s">
        <v>1007</v>
      </c>
      <c r="F91" s="773" t="s">
        <v>949</v>
      </c>
      <c r="G91" s="837"/>
      <c r="H91" s="1136"/>
      <c r="I91" s="837"/>
      <c r="J91" s="1136"/>
      <c r="K91" s="402"/>
      <c r="X91" s="871">
        <v>0</v>
      </c>
    </row>
    <row s="5387" customFormat="1" customHeight="1" ht="11.25">
      <c r="A92" s="2505"/>
      <c r="B92" s="624"/>
      <c r="D92" s="778" t="s">
        <v>969</v>
      </c>
      <c r="E92" s="836" t="s">
        <v>1009</v>
      </c>
      <c r="F92" s="773" t="s">
        <v>949</v>
      </c>
      <c r="G92" s="837"/>
      <c r="H92" s="1136"/>
      <c r="I92" s="837"/>
      <c r="J92" s="1136"/>
      <c r="K92" s="402"/>
      <c r="X92" s="871">
        <v>0</v>
      </c>
    </row>
    <row s="5387" customFormat="1" customHeight="1" ht="11.25">
      <c r="A93" s="2505"/>
      <c r="B93" s="624"/>
      <c r="D93" s="778" t="s">
        <v>1016</v>
      </c>
      <c r="E93" s="836" t="s">
        <v>1011</v>
      </c>
      <c r="F93" s="773" t="s">
        <v>949</v>
      </c>
      <c r="G93" s="837"/>
      <c r="H93" s="1136"/>
      <c r="I93" s="837"/>
      <c r="J93" s="1136"/>
      <c r="K93" s="402"/>
      <c r="X93" s="871">
        <v>0</v>
      </c>
    </row>
    <row s="5387" customFormat="1" customHeight="1" ht="11.25">
      <c r="A94" s="2505"/>
      <c r="B94" s="624"/>
      <c r="D94" s="778" t="s">
        <v>1017</v>
      </c>
      <c r="E94" s="836" t="s">
        <v>1013</v>
      </c>
      <c r="F94" s="773" t="s">
        <v>949</v>
      </c>
      <c r="G94" s="837"/>
      <c r="H94" s="1136"/>
      <c r="I94" s="837"/>
      <c r="J94" s="1136"/>
      <c r="K94" s="402"/>
      <c r="X94" s="871">
        <v>0</v>
      </c>
    </row>
    <row s="5387" customFormat="1" customHeight="1" ht="24.75">
      <c r="A95" s="2505"/>
      <c r="B95" s="624"/>
      <c r="D95" s="778" t="s">
        <v>116</v>
      </c>
      <c r="E95" s="779" t="s">
        <v>1018</v>
      </c>
      <c r="F95" s="838" t="s">
        <v>649</v>
      </c>
      <c r="G95" s="840"/>
      <c r="H95" s="1136"/>
      <c r="I95" s="840"/>
      <c r="J95" s="1136"/>
      <c r="K95" s="402" t="s">
        <v>1019</v>
      </c>
      <c r="X95" s="871">
        <v>0</v>
      </c>
    </row>
    <row s="5387" customFormat="1" customHeight="1" ht="33.75">
      <c r="A96" s="2505"/>
      <c r="B96" s="624"/>
      <c r="D96" s="778" t="s">
        <v>92</v>
      </c>
      <c r="E96" s="779" t="s">
        <v>1020</v>
      </c>
      <c r="F96" s="839" t="s">
        <v>910</v>
      </c>
      <c r="G96" s="841"/>
      <c r="H96" s="1136"/>
      <c r="I96" s="841"/>
      <c r="J96" s="1136"/>
      <c r="K96" s="402"/>
      <c r="X96" s="871">
        <v>0</v>
      </c>
    </row>
    <row s="5387" customFormat="1" customHeight="1" ht="22.5">
      <c r="A97" s="2505"/>
      <c r="B97" s="624" t="s">
        <v>679</v>
      </c>
      <c r="D97" s="778" t="s">
        <v>93</v>
      </c>
      <c r="E97" s="779" t="s">
        <v>1021</v>
      </c>
      <c r="F97" s="839" t="s">
        <v>399</v>
      </c>
      <c r="G97" s="498"/>
      <c r="H97" s="1136"/>
      <c r="I97" s="498"/>
      <c r="J97" s="1136"/>
      <c r="K97" s="402" t="s">
        <v>722</v>
      </c>
      <c r="X97" s="871">
        <v>0</v>
      </c>
    </row>
    <row s="5387" customFormat="1" customHeight="1" ht="45">
      <c r="A98" s="2505"/>
      <c r="B98" s="624" t="s">
        <v>679</v>
      </c>
      <c r="D98" s="778" t="s">
        <v>1022</v>
      </c>
      <c r="E98" s="780" t="s">
        <v>1023</v>
      </c>
      <c r="F98" s="834" t="s">
        <v>399</v>
      </c>
      <c r="G98" s="498"/>
      <c r="H98" s="1136"/>
      <c r="I98" s="498"/>
      <c r="J98" s="1136"/>
      <c r="K98" s="402" t="s">
        <v>722</v>
      </c>
      <c r="X98" s="871">
        <v>0</v>
      </c>
    </row>
    <row s="5387" customFormat="1" customHeight="1" ht="95.25">
      <c r="A99" s="2505"/>
      <c r="B99" s="624" t="s">
        <v>679</v>
      </c>
      <c r="D99" s="778" t="s">
        <v>129</v>
      </c>
      <c r="E99" s="779" t="s">
        <v>1024</v>
      </c>
      <c r="F99" s="834" t="s">
        <v>399</v>
      </c>
      <c r="G99" s="498"/>
      <c r="H99" s="1136"/>
      <c r="I99" s="498"/>
      <c r="J99" s="1136"/>
      <c r="K99" s="402" t="s">
        <v>722</v>
      </c>
      <c r="X99" s="871">
        <v>0</v>
      </c>
    </row>
    <row s="5387" customFormat="1" customHeight="1" ht="22.5">
      <c r="A100" s="2505"/>
      <c r="B100" s="624" t="s">
        <v>679</v>
      </c>
      <c r="D100" s="778" t="s">
        <v>134</v>
      </c>
      <c r="E100" s="779" t="s">
        <v>1025</v>
      </c>
      <c r="F100" s="834" t="s">
        <v>399</v>
      </c>
      <c r="G100" s="498"/>
      <c r="H100" s="1136"/>
      <c r="I100" s="498"/>
      <c r="J100" s="1136"/>
      <c r="K100" s="402" t="s">
        <v>722</v>
      </c>
      <c r="X100" s="871">
        <v>0</v>
      </c>
    </row>
    <row s="5387"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3B624-E89B-B8C8-E971-E2D88317763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351" width="9.140625" hidden="1" customWidth="1"/>
    <col min="2" max="2" style="5387" width="9.140625" hidden="1" customWidth="1"/>
    <col min="3" max="3" style="9382" width="4.00390625" customWidth="1"/>
    <col min="4" max="4" style="5387" width="6.00390625" customWidth="1"/>
    <col min="5" max="5" style="5387" width="36.00390625" customWidth="1"/>
    <col min="6" max="6" style="5387" width="9.00390625" customWidth="1"/>
    <col min="7" max="7" style="5387" width="25.7109375" hidden="1" customWidth="1"/>
    <col min="8" max="8" style="5387" width="33.7109375" hidden="1" customWidth="1"/>
    <col min="9" max="9" style="5387" width="25.7109375" customWidth="1"/>
    <col min="10" max="10" style="5387" width="33.00390625" customWidth="1"/>
    <col min="11" max="11" style="5467" width="93.00390625" customWidth="1"/>
    <col min="12" max="20" style="5387" width="10.00390625" customWidth="1"/>
    <col min="21" max="21" style="9383" width="10.00390625" customWidth="1"/>
    <col min="22" max="22" style="5387" width="10.57421875" hidden="1"/>
  </cols>
  <sheetData>
    <row s="5467" customFormat="1" customHeight="1" ht="22.5" hidden="1">
      <c r="C1" s="785"/>
      <c r="G1" s="530">
        <v>4</v>
      </c>
      <c r="I1" s="530">
        <v>4</v>
      </c>
      <c r="U1" s="533"/>
      <c r="V1" s="530" t="s">
        <v>14</v>
      </c>
    </row>
    <row s="5467" customFormat="1" customHeight="1" ht="15" hidden="1">
      <c r="C2" s="785"/>
      <c r="U2" s="533"/>
      <c r="V2" s="530">
        <v>0</v>
      </c>
    </row>
    <row customHeight="1" ht="22.5" hidden="1">
      <c r="A3" s="618"/>
      <c r="B3" s="2510"/>
      <c r="C3" s="2511" t="s">
        <v>104</v>
      </c>
      <c r="D3" s="802" t="str">
        <f>B3&amp;".1"</f>
        <v>.1</v>
      </c>
      <c r="E3" s="803" t="s">
        <v>1026</v>
      </c>
      <c r="F3" s="804" t="s">
        <v>399</v>
      </c>
      <c r="G3" s="799"/>
      <c r="H3" s="514"/>
      <c r="I3" s="799"/>
      <c r="J3" s="514"/>
      <c r="K3" s="402" t="s">
        <v>1027</v>
      </c>
      <c r="V3" s="618">
        <v>0</v>
      </c>
    </row>
    <row customHeight="1" ht="15" hidden="1">
      <c r="A4" s="618"/>
      <c r="B4" s="2510"/>
      <c r="C4" s="2511"/>
      <c r="D4" s="802" t="str">
        <f>B3&amp;".2"</f>
        <v>.2</v>
      </c>
      <c r="E4" s="803" t="s">
        <v>1028</v>
      </c>
      <c r="F4" s="804" t="s">
        <v>399</v>
      </c>
      <c r="G4" s="1851" t="s">
        <v>28</v>
      </c>
      <c r="H4" s="514"/>
      <c r="I4" s="1851" t="s">
        <v>28</v>
      </c>
      <c r="J4" s="514"/>
      <c r="K4" s="402" t="s">
        <v>1029</v>
      </c>
      <c r="V4" s="618">
        <v>0</v>
      </c>
    </row>
    <row s="5467" customFormat="1" customHeight="1" ht="15" hidden="1">
      <c r="C5" s="785"/>
      <c r="U5" s="533"/>
      <c r="V5" s="530">
        <v>0</v>
      </c>
    </row>
    <row customHeight="1" ht="22.5" hidden="1">
      <c r="A6" s="618"/>
      <c r="B6" s="2510"/>
      <c r="C6" s="2511" t="s">
        <v>104</v>
      </c>
      <c r="D6" s="802" t="str">
        <f>B6&amp;".1"</f>
        <v>.1</v>
      </c>
      <c r="E6" s="803" t="s">
        <v>1030</v>
      </c>
      <c r="F6" s="804" t="s">
        <v>399</v>
      </c>
      <c r="G6" s="799"/>
      <c r="H6" s="514"/>
      <c r="I6" s="799"/>
      <c r="J6" s="514"/>
      <c r="K6" s="402" t="s">
        <v>1031</v>
      </c>
      <c r="V6" s="618">
        <v>0</v>
      </c>
    </row>
    <row customHeight="1" ht="15" hidden="1">
      <c r="A7" s="618"/>
      <c r="B7" s="2510"/>
      <c r="C7" s="2511"/>
      <c r="D7" s="802" t="str">
        <f>B6&amp;".2"</f>
        <v>.2</v>
      </c>
      <c r="E7" s="803" t="s">
        <v>1028</v>
      </c>
      <c r="F7" s="804" t="s">
        <v>399</v>
      </c>
      <c r="G7" s="1851" t="s">
        <v>28</v>
      </c>
      <c r="H7" s="514"/>
      <c r="I7" s="1851" t="s">
        <v>28</v>
      </c>
      <c r="J7" s="514"/>
      <c r="K7" s="402" t="s">
        <v>1029</v>
      </c>
      <c r="V7" s="618">
        <v>0</v>
      </c>
    </row>
    <row s="5467" customFormat="1" customHeight="1" ht="15" hidden="1">
      <c r="C8" s="785"/>
      <c r="U8" s="533"/>
      <c r="V8" s="530">
        <v>0</v>
      </c>
    </row>
    <row customHeight="1" ht="22.5" hidden="1">
      <c r="A9" s="618"/>
      <c r="B9" s="2510"/>
      <c r="C9" s="2511" t="s">
        <v>104</v>
      </c>
      <c r="D9" s="802" t="str">
        <f>B9&amp;".1"</f>
        <v>.1</v>
      </c>
      <c r="E9" s="803" t="s">
        <v>1032</v>
      </c>
      <c r="F9" s="804" t="s">
        <v>399</v>
      </c>
      <c r="G9" s="810" t="s">
        <v>28</v>
      </c>
      <c r="H9" s="514" t="s">
        <v>28</v>
      </c>
      <c r="I9" s="810" t="s">
        <v>28</v>
      </c>
      <c r="J9" s="514" t="s">
        <v>28</v>
      </c>
      <c r="K9" s="402"/>
      <c r="V9" s="618">
        <v>0</v>
      </c>
    </row>
    <row customHeight="1" ht="15" hidden="1">
      <c r="A10" s="618"/>
      <c r="B10" s="2510"/>
      <c r="C10" s="2511"/>
      <c r="D10" s="802" t="str">
        <f>B9&amp;".2"</f>
        <v>.2</v>
      </c>
      <c r="E10" s="803" t="s">
        <v>1033</v>
      </c>
      <c r="F10" s="804" t="s">
        <v>399</v>
      </c>
      <c r="G10" s="1845" t="s">
        <v>28</v>
      </c>
      <c r="H10" s="514" t="s">
        <v>28</v>
      </c>
      <c r="I10" s="1845" t="s">
        <v>28</v>
      </c>
      <c r="J10" s="514" t="s">
        <v>28</v>
      </c>
      <c r="K10" s="402" t="s">
        <v>1034</v>
      </c>
      <c r="V10" s="618">
        <v>0</v>
      </c>
    </row>
    <row customHeight="1" ht="15" hidden="1">
      <c r="A11" s="618"/>
      <c r="B11" s="2510"/>
      <c r="C11" s="2511"/>
      <c r="D11" s="802" t="str">
        <f>B9&amp;".3"</f>
        <v>.3</v>
      </c>
      <c r="E11" s="803" t="s">
        <v>1035</v>
      </c>
      <c r="F11" s="804" t="s">
        <v>399</v>
      </c>
      <c r="G11" s="1845" t="s">
        <v>28</v>
      </c>
      <c r="H11" s="514" t="s">
        <v>28</v>
      </c>
      <c r="I11" s="1845" t="s">
        <v>28</v>
      </c>
      <c r="J11" s="514" t="s">
        <v>28</v>
      </c>
      <c r="K11" s="402" t="s">
        <v>1036</v>
      </c>
      <c r="V11" s="618">
        <v>0</v>
      </c>
    </row>
    <row s="5467" customFormat="1" customHeight="1" ht="15" hidden="1">
      <c r="C12" s="785"/>
      <c r="U12" s="533"/>
      <c r="V12" s="530">
        <v>0</v>
      </c>
    </row>
    <row customHeight="1" ht="33.75" hidden="1">
      <c r="A13" s="618"/>
      <c r="B13" s="2510"/>
      <c r="C13" s="2511" t="s">
        <v>104</v>
      </c>
      <c r="D13" s="802" t="str">
        <f>B13&amp;".1"</f>
        <v>.1</v>
      </c>
      <c r="E13" s="803" t="s">
        <v>1037</v>
      </c>
      <c r="F13" s="804" t="s">
        <v>399</v>
      </c>
      <c r="G13" s="810" t="s">
        <v>28</v>
      </c>
      <c r="H13" s="514" t="s">
        <v>28</v>
      </c>
      <c r="I13" s="810" t="s">
        <v>28</v>
      </c>
      <c r="J13" s="514" t="s">
        <v>28</v>
      </c>
      <c r="K13" s="402" t="s">
        <v>1038</v>
      </c>
      <c r="V13" s="618">
        <v>0</v>
      </c>
    </row>
    <row customHeight="1" ht="15" hidden="1">
      <c r="B14" s="2510"/>
      <c r="C14" s="2511"/>
      <c r="D14" s="802" t="str">
        <f>B13&amp;".2"</f>
        <v>.2</v>
      </c>
      <c r="E14" s="803" t="s">
        <v>1039</v>
      </c>
      <c r="F14" s="804" t="s">
        <v>399</v>
      </c>
      <c r="G14" s="1845" t="s">
        <v>28</v>
      </c>
      <c r="H14" s="514" t="s">
        <v>28</v>
      </c>
      <c r="I14" s="1845" t="s">
        <v>28</v>
      </c>
      <c r="J14" s="514" t="s">
        <v>28</v>
      </c>
      <c r="K14" s="402" t="s">
        <v>1040</v>
      </c>
      <c r="V14" s="618">
        <v>0</v>
      </c>
    </row>
    <row s="5467" customFormat="1" customHeight="1" ht="15" hidden="1">
      <c r="C15" s="785"/>
      <c r="U15" s="533"/>
      <c r="V15" s="530">
        <v>0</v>
      </c>
    </row>
    <row s="5467" customFormat="1" customHeight="1" ht="15" hidden="1">
      <c r="C16" s="785"/>
      <c r="U16" s="533"/>
      <c r="V16" s="530">
        <v>0</v>
      </c>
    </row>
    <row s="5467" customFormat="1" customHeight="1" ht="15" hidden="1">
      <c r="C17" s="785"/>
      <c r="U17" s="533"/>
      <c r="V17" s="530">
        <v>0</v>
      </c>
    </row>
    <row s="5467" customFormat="1" customHeight="1" ht="15" hidden="1">
      <c r="C18" s="785"/>
      <c r="U18" s="533"/>
      <c r="V18" s="530">
        <v>0</v>
      </c>
    </row>
    <row s="5467" customFormat="1" customHeight="1" ht="15" hidden="1">
      <c r="C19" s="785"/>
      <c r="U19" s="533"/>
      <c r="V19" s="530">
        <v>0</v>
      </c>
    </row>
    <row s="5467"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КГУП "Примтеплоэнерго"</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7" customFormat="1" customHeight="1" ht="1.05">
      <c r="A25" s="872"/>
      <c r="C25" s="289"/>
      <c r="D25" s="622"/>
      <c r="E25" s="622"/>
      <c r="F25" s="622"/>
      <c r="G25" s="650"/>
      <c r="H25" s="865"/>
      <c r="I25" s="650" t="s">
        <v>149</v>
      </c>
      <c r="J25" s="865"/>
      <c r="K25" s="530"/>
      <c r="U25" s="788"/>
      <c r="V25" s="871">
        <v>1</v>
      </c>
    </row>
    <row customHeight="1" ht="15.75">
      <c r="C26" s="289"/>
      <c r="D26" s="824"/>
      <c r="E26" s="2480" t="s">
        <v>141</v>
      </c>
      <c r="F26" s="2481"/>
      <c r="G26" s="2508" t="str">
        <f>IF(G25="","",INDEX(DIFFERENTIATION_UNMERGE_VD,MATCH(G25,DIFFERENTIATION_ID_DIFF,0)))</f>
        <v/>
      </c>
      <c r="H26" s="2509"/>
      <c r="I26" s="2508">
        <f>IF(I25="","",INDEX(DIFFERENTIATION_UNMERGE_VD,MATCH(I25,DIFFERENTIATION_ID_DIFF,0)))</f>
        <v>0</v>
      </c>
      <c r="J26" s="2509"/>
      <c r="K26" s="2288" t="s">
        <v>394</v>
      </c>
      <c r="V26" s="618">
        <v>15</v>
      </c>
    </row>
    <row s="5387" customFormat="1" customHeight="1" ht="15.75">
      <c r="A27" s="872"/>
      <c r="C27" s="289"/>
      <c r="D27" s="824"/>
      <c r="E27" s="2480" t="s">
        <v>655</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387" customFormat="1" customHeight="1" ht="15.75">
      <c r="A28" s="872"/>
      <c r="C28" s="289"/>
      <c r="D28" s="824"/>
      <c r="E28" s="2480" t="s">
        <v>656</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7" customFormat="1" customHeight="1" ht="15.75">
      <c r="A29" s="872"/>
      <c r="C29" s="289"/>
      <c r="D29" s="2482" t="s">
        <v>393</v>
      </c>
      <c r="E29" s="2483"/>
      <c r="F29" s="2483"/>
      <c r="G29" s="1000"/>
      <c r="H29" s="1000"/>
      <c r="I29" s="1000"/>
      <c r="J29" s="1001"/>
      <c r="K29" s="2308"/>
      <c r="U29" s="788"/>
      <c r="V29" s="871">
        <v>15</v>
      </c>
    </row>
    <row customHeight="1" ht="35.699999999999996">
      <c r="C30" s="289"/>
      <c r="D30" s="874" t="s">
        <v>88</v>
      </c>
      <c r="E30" s="873" t="s">
        <v>395</v>
      </c>
      <c r="F30" s="873" t="s">
        <v>657</v>
      </c>
      <c r="G30" s="921" t="s">
        <v>396</v>
      </c>
      <c r="H30" s="920" t="s">
        <v>483</v>
      </c>
      <c r="I30" s="797" t="s">
        <v>396</v>
      </c>
      <c r="J30" s="578" t="s">
        <v>483</v>
      </c>
      <c r="K30" s="2314"/>
      <c r="V30" s="618">
        <v>34</v>
      </c>
    </row>
    <row customHeight="1" ht="15" hidden="1">
      <c r="C31" s="289"/>
      <c r="D31" s="706"/>
      <c r="E31" s="706"/>
      <c r="F31" s="706"/>
      <c r="G31" s="772"/>
      <c r="H31" s="772"/>
      <c r="I31" s="772"/>
      <c r="J31" s="772"/>
      <c r="K31" s="402"/>
      <c r="V31" s="618">
        <v>0</v>
      </c>
    </row>
    <row customHeight="1" ht="24">
      <c r="A32" s="618"/>
      <c r="B32" s="618" t="s">
        <v>1041</v>
      </c>
      <c r="C32" s="639"/>
      <c r="D32" s="805">
        <v>1</v>
      </c>
      <c r="E32" s="806" t="s">
        <v>1042</v>
      </c>
      <c r="F32" s="804" t="s">
        <v>399</v>
      </c>
      <c r="G32" s="926" t="s">
        <v>399</v>
      </c>
      <c r="H32" s="926" t="s">
        <v>399</v>
      </c>
      <c r="I32" s="804" t="s">
        <v>399</v>
      </c>
      <c r="J32" s="804" t="s">
        <v>399</v>
      </c>
      <c r="K32" s="402"/>
      <c r="V32" s="618">
        <v>23</v>
      </c>
    </row>
    <row customHeight="1" ht="11.549999999999999">
      <c r="A33" s="618"/>
      <c r="C33" s="618"/>
      <c r="D33" s="460"/>
      <c r="E33" s="693" t="s">
        <v>677</v>
      </c>
      <c r="F33" s="685"/>
      <c r="G33" s="685"/>
      <c r="H33" s="685"/>
      <c r="I33" s="685"/>
      <c r="J33" s="685"/>
      <c r="K33" s="686"/>
      <c r="U33" s="618"/>
      <c r="V33" s="618">
        <v>11</v>
      </c>
    </row>
    <row customHeight="1" ht="24">
      <c r="A34" s="618"/>
      <c r="B34" s="694" t="s">
        <v>727</v>
      </c>
      <c r="C34" s="639"/>
      <c r="D34" s="805">
        <v>2</v>
      </c>
      <c r="E34" s="806" t="s">
        <v>1043</v>
      </c>
      <c r="F34" s="933" t="s">
        <v>399</v>
      </c>
      <c r="G34" s="933" t="s">
        <v>399</v>
      </c>
      <c r="H34" s="933" t="s">
        <v>399</v>
      </c>
      <c r="I34" s="804"/>
      <c r="J34" s="804"/>
      <c r="K34" s="402"/>
      <c r="V34" s="618">
        <v>23</v>
      </c>
    </row>
    <row customHeight="1" ht="11.549999999999999">
      <c r="A35" s="618"/>
      <c r="C35" s="618"/>
      <c r="D35" s="460"/>
      <c r="E35" s="693" t="s">
        <v>1044</v>
      </c>
      <c r="F35" s="685"/>
      <c r="G35" s="807"/>
      <c r="H35" s="685"/>
      <c r="I35" s="807"/>
      <c r="J35" s="685"/>
      <c r="K35" s="686"/>
      <c r="U35" s="618"/>
      <c r="V35" s="618">
        <v>11</v>
      </c>
    </row>
    <row customHeight="1" ht="71.25">
      <c r="A36" s="618"/>
      <c r="B36" s="618" t="s">
        <v>1045</v>
      </c>
      <c r="C36" s="639"/>
      <c r="D36" s="805">
        <v>3</v>
      </c>
      <c r="E36" s="806" t="s">
        <v>1046</v>
      </c>
      <c r="F36" s="808" t="s">
        <v>399</v>
      </c>
      <c r="G36" s="927" t="s">
        <v>1047</v>
      </c>
      <c r="H36" s="926" t="s">
        <v>399</v>
      </c>
      <c r="I36" s="637" t="s">
        <v>1047</v>
      </c>
      <c r="J36" s="804" t="s">
        <v>399</v>
      </c>
      <c r="K36" s="402" t="s">
        <v>1048</v>
      </c>
      <c r="V36" s="618">
        <v>68</v>
      </c>
    </row>
    <row customHeight="1" ht="11.549999999999999">
      <c r="A37" s="618"/>
      <c r="C37" s="618"/>
      <c r="D37" s="460"/>
      <c r="E37" s="693" t="s">
        <v>1049</v>
      </c>
      <c r="F37" s="685"/>
      <c r="G37" s="807"/>
      <c r="H37" s="807"/>
      <c r="I37" s="807"/>
      <c r="J37" s="807"/>
      <c r="K37" s="686"/>
      <c r="U37" s="618"/>
      <c r="V37" s="618">
        <v>11</v>
      </c>
    </row>
    <row customHeight="1" ht="71.25">
      <c r="A38" s="618"/>
      <c r="B38" s="618" t="s">
        <v>1050</v>
      </c>
      <c r="C38" s="639"/>
      <c r="D38" s="805">
        <v>4</v>
      </c>
      <c r="E38" s="806" t="s">
        <v>1051</v>
      </c>
      <c r="F38" s="808" t="s">
        <v>399</v>
      </c>
      <c r="G38" s="927" t="s">
        <v>1047</v>
      </c>
      <c r="H38" s="928" t="s">
        <v>399</v>
      </c>
      <c r="I38" s="637" t="s">
        <v>1047</v>
      </c>
      <c r="J38" s="634" t="s">
        <v>399</v>
      </c>
      <c r="K38" s="792" t="s">
        <v>1052</v>
      </c>
      <c r="V38" s="618">
        <v>68</v>
      </c>
    </row>
    <row customHeight="1" ht="11.549999999999999">
      <c r="A39" s="618"/>
      <c r="C39" s="618"/>
      <c r="D39" s="460"/>
      <c r="E39" s="693" t="s">
        <v>1053</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8DF0A-3EFE-D31D-83B5-92561A5DD06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353" width="6.7109375" hidden="1" customWidth="1"/>
    <col min="4" max="4" style="5467" width="6.7109375" hidden="1" customWidth="1"/>
    <col min="5" max="5" style="5387" width="3.00390625" customWidth="1"/>
    <col min="6" max="6" style="5387" width="6.00390625" customWidth="1"/>
    <col min="7" max="7" style="5387" width="37.00390625" customWidth="1"/>
    <col min="8" max="8" style="5387" width="16.00390625" customWidth="1"/>
    <col min="9" max="10" style="5387" width="19.00390625" customWidth="1"/>
    <col min="11" max="11" style="5387" width="24.00390625" customWidth="1"/>
    <col min="12" max="13" style="5387" width="25.00390625" customWidth="1"/>
    <col min="14" max="16" style="5387" width="17.00390625" customWidth="1"/>
    <col min="17" max="24" style="5387" width="19.00390625" customWidth="1"/>
    <col min="25" max="25" style="5387" width="7.00390625" customWidth="1"/>
    <col min="26" max="26" style="5387" width="3.00390625" customWidth="1"/>
    <col min="27" max="27" style="5387" width="6.00390625" customWidth="1"/>
    <col min="28" max="28" style="5387" width="34.00390625" customWidth="1"/>
    <col min="29" max="30" style="5387" width="8.00390625" customWidth="1"/>
    <col min="31" max="31" style="5387" width="9.140625" hidden="1"/>
  </cols>
  <sheetData>
    <row s="5467" customFormat="1" customHeight="1" ht="10.5" hidden="1">
      <c r="A1" s="1008"/>
      <c r="B1" s="1008"/>
      <c r="C1" s="1008"/>
      <c r="E1" s="650"/>
      <c r="H1" s="1273"/>
      <c r="AE1" s="530" t="s">
        <v>14</v>
      </c>
    </row>
    <row customHeight="1" ht="10.5" hidden="1">
      <c r="AE2" s="871">
        <v>0</v>
      </c>
    </row>
    <row s="5351" customFormat="1" customHeight="1" ht="10.5" hidden="1">
      <c r="A3" s="1008"/>
      <c r="B3" s="1008"/>
      <c r="C3" s="1008"/>
      <c r="D3" s="530"/>
      <c r="E3" s="475"/>
      <c r="G3" s="1745" t="s">
        <v>1054</v>
      </c>
      <c r="H3" s="1269"/>
      <c r="AE3" s="872">
        <v>0</v>
      </c>
    </row>
    <row customHeight="1" ht="3">
      <c r="AE4" s="871">
        <v>3</v>
      </c>
    </row>
    <row customHeight="1" ht="27.299999999999997">
      <c r="F5" s="2361" t="str">
        <f>IP_NAME_FORM</f>
        <v>Форма 7. Информация об инвестиционных программах организации водоотведения и отчетах об их исполнении</v>
      </c>
      <c r="G5" s="2361"/>
      <c r="H5" s="2361"/>
      <c r="I5" s="2361"/>
      <c r="J5" s="2361"/>
      <c r="K5" s="2361"/>
      <c r="M5" s="695"/>
      <c r="AB5" s="1019"/>
      <c r="AE5" s="871">
        <v>26</v>
      </c>
    </row>
    <row s="5387" customFormat="1" customHeight="1" ht="16.8">
      <c r="A6" s="1279"/>
      <c r="B6" s="1279"/>
      <c r="C6" s="1279"/>
      <c r="D6" s="1273"/>
      <c r="E6" s="1748"/>
      <c r="F6" s="2362" t="str">
        <f>IF(org=0,"Не определено",org)</f>
        <v>КГУП "Примтеплоэнерго"</v>
      </c>
      <c r="G6" s="2362"/>
      <c r="H6" s="2362"/>
      <c r="I6" s="2362"/>
      <c r="J6" s="2362"/>
      <c r="K6" s="2362"/>
      <c r="M6" s="695"/>
      <c r="AB6" s="1261"/>
      <c r="AE6" s="1744">
        <v>16</v>
      </c>
    </row>
    <row customHeight="1" ht="10.5">
      <c r="AE7" s="871">
        <v>10</v>
      </c>
    </row>
    <row customHeight="1" ht="10.5">
      <c r="A8" s="1164"/>
      <c r="B8" s="1164"/>
      <c r="C8" s="1164"/>
      <c r="F8" s="2214" t="s">
        <v>393</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1054</v>
      </c>
      <c r="H9" s="2288" t="s">
        <v>1055</v>
      </c>
      <c r="I9" s="2240" t="s">
        <v>1056</v>
      </c>
      <c r="J9" s="2240" t="s">
        <v>1057</v>
      </c>
      <c r="K9" s="2240" t="s">
        <v>1058</v>
      </c>
      <c r="L9" s="2240" t="s">
        <v>1059</v>
      </c>
      <c r="M9" s="2240" t="s">
        <v>1060</v>
      </c>
      <c r="N9" s="2322" t="s">
        <v>1061</v>
      </c>
      <c r="O9" s="2322"/>
      <c r="P9" s="2322"/>
      <c r="Q9" s="2512" t="s">
        <v>1062</v>
      </c>
      <c r="R9" s="2513"/>
      <c r="S9" s="2513"/>
      <c r="T9" s="2514"/>
      <c r="U9" s="2512" t="s">
        <v>1063</v>
      </c>
      <c r="V9" s="2513"/>
      <c r="W9" s="2513"/>
      <c r="X9" s="2514"/>
      <c r="Y9" s="2214" t="s">
        <v>1064</v>
      </c>
      <c r="Z9" s="2215"/>
      <c r="AA9" s="2215"/>
      <c r="AB9" s="2216"/>
      <c r="AE9" s="871">
        <v>41</v>
      </c>
    </row>
    <row customHeight="1" ht="43.050000000000004">
      <c r="A10" s="1018"/>
      <c r="B10" s="1018"/>
      <c r="C10" s="1018"/>
      <c r="F10" s="2288"/>
      <c r="G10" s="2288"/>
      <c r="H10" s="2345"/>
      <c r="I10" s="2288"/>
      <c r="J10" s="2288"/>
      <c r="K10" s="2288"/>
      <c r="L10" s="2288"/>
      <c r="M10" s="2288"/>
      <c r="N10" s="1016" t="s">
        <v>1065</v>
      </c>
      <c r="O10" s="1016" t="s">
        <v>1066</v>
      </c>
      <c r="P10" s="1017" t="s">
        <v>1067</v>
      </c>
      <c r="Q10" s="1028" t="s">
        <v>89</v>
      </c>
      <c r="R10" s="1028" t="s">
        <v>1068</v>
      </c>
      <c r="S10" s="1028" t="s">
        <v>1069</v>
      </c>
      <c r="T10" s="1029" t="s">
        <v>1070</v>
      </c>
      <c r="U10" s="1028" t="s">
        <v>89</v>
      </c>
      <c r="V10" s="1028" t="s">
        <v>1071</v>
      </c>
      <c r="W10" s="1028" t="s">
        <v>1069</v>
      </c>
      <c r="X10" s="1029" t="s">
        <v>1070</v>
      </c>
      <c r="Y10" s="414" t="s">
        <v>1072</v>
      </c>
      <c r="Z10" s="2214" t="s">
        <v>88</v>
      </c>
      <c r="AA10" s="2216"/>
      <c r="AB10" s="1162" t="s">
        <v>1073</v>
      </c>
      <c r="AE10" s="871">
        <v>41</v>
      </c>
    </row>
    <row s="5468" customFormat="1" customHeight="1" ht="5.25" hidden="1">
      <c r="A11" s="1165"/>
      <c r="B11" s="1165"/>
      <c r="C11" s="1165"/>
      <c r="E11" s="1163"/>
      <c r="F11" s="2519" t="s">
        <v>469</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1074</v>
      </c>
      <c r="AE11" s="624">
        <v>0</v>
      </c>
    </row>
    <row s="5468"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1075</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68"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403EA-B20D-5E01-821A-D1121DDD3594}"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353" width="4.140625" hidden="1" customWidth="1"/>
    <col min="4" max="4" style="5467" width="4.140625" hidden="1" customWidth="1"/>
    <col min="5" max="5" style="5387" width="3.00390625" customWidth="1"/>
    <col min="6" max="6" style="5387" width="14.00390625" customWidth="1"/>
    <col min="7" max="7" style="5387" width="3.00390625" customWidth="1"/>
    <col min="8" max="8" style="5387" width="7.00390625" customWidth="1"/>
    <col min="9" max="10" style="5387" width="16.00390625" customWidth="1"/>
    <col min="11" max="11" style="5387" width="25.00390625" customWidth="1"/>
    <col min="12" max="12" style="5387" width="7.00390625" customWidth="1"/>
    <col min="13" max="13" style="5387" width="15.00390625" customWidth="1"/>
    <col min="14" max="14" style="5387" width="3.00390625" customWidth="1"/>
    <col min="15" max="15" style="5387" width="4.00390625" customWidth="1"/>
    <col min="16" max="16" style="5387" width="8.00390625" customWidth="1"/>
    <col min="17" max="17" style="5387" width="21.00390625" customWidth="1"/>
    <col min="18" max="18" style="5387" width="14.00390625" customWidth="1"/>
    <col min="19" max="20" style="5387" width="17.00390625" customWidth="1"/>
    <col min="21" max="21" style="5387" width="9.00390625" customWidth="1"/>
    <col min="22" max="22" style="5387" width="12.00390625" customWidth="1"/>
    <col min="23" max="23" style="5387" width="9.00390625" customWidth="1"/>
    <col min="24" max="24" style="5387" width="21.00390625" customWidth="1"/>
    <col min="25" max="25" style="5387" width="12.00390625" customWidth="1"/>
    <col min="26" max="26" style="5387" width="3.00390625" customWidth="1"/>
    <col min="27" max="27" style="5387" width="6.00390625" customWidth="1"/>
    <col min="28" max="28" style="5387" width="38.00390625" customWidth="1"/>
    <col min="29" max="29" style="5387" width="15.00390625" customWidth="1"/>
    <col min="30" max="30" style="5387" width="37.57421875" hidden="1" customWidth="1"/>
    <col min="31" max="31" style="5387" width="15.7109375" hidden="1" customWidth="1"/>
    <col min="32" max="34" style="5387" width="16.00390625" customWidth="1"/>
    <col min="35" max="37" style="5387" width="16.7109375" hidden="1" customWidth="1"/>
    <col min="38" max="58" style="5387" width="8.00390625" customWidth="1"/>
    <col min="59" max="59" style="5387" width="9.140625" hidden="1"/>
  </cols>
  <sheetData>
    <row s="5467" customFormat="1" customHeight="1" ht="10.5" hidden="1">
      <c r="A1" s="1008"/>
      <c r="B1" s="1008"/>
      <c r="C1" s="1008"/>
      <c r="E1" s="650"/>
      <c r="H1" s="1273"/>
      <c r="L1" s="1241"/>
      <c r="M1" s="1241"/>
      <c r="AD1" s="1241"/>
      <c r="AH1" s="1260"/>
      <c r="AI1" s="1253"/>
      <c r="BG1" s="530" t="s">
        <v>14</v>
      </c>
    </row>
    <row customHeight="1" ht="10.5" hidden="1">
      <c r="BG2" s="871">
        <v>0</v>
      </c>
    </row>
    <row s="5351"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водоотведения и отчетах об их исполнении</v>
      </c>
      <c r="G5" s="2361"/>
      <c r="H5" s="2361"/>
      <c r="I5" s="2361"/>
      <c r="J5" s="2361"/>
      <c r="K5" s="2361"/>
      <c r="L5" s="1248"/>
      <c r="M5" s="1248"/>
      <c r="AG5" s="1019"/>
      <c r="AH5" s="1261"/>
      <c r="BG5" s="871">
        <v>26</v>
      </c>
    </row>
    <row customHeight="1" ht="10.5">
      <c r="F6" s="2289" t="str">
        <f>IF(org=0,"Не определено",org)</f>
        <v>КГУП "Примтеплоэнерго"</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393</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1076</v>
      </c>
      <c r="G9" s="2522" t="s">
        <v>1077</v>
      </c>
      <c r="H9" s="2523"/>
      <c r="I9" s="2240" t="s">
        <v>1078</v>
      </c>
      <c r="J9" s="2240"/>
      <c r="K9" s="2240" t="s">
        <v>1079</v>
      </c>
      <c r="L9" s="2240"/>
      <c r="M9" s="2240"/>
      <c r="N9" s="2240"/>
      <c r="O9" s="2240"/>
      <c r="P9" s="2240"/>
      <c r="Q9" s="2240"/>
      <c r="R9" s="2240"/>
      <c r="S9" s="2240"/>
      <c r="T9" s="2240"/>
      <c r="U9" s="2240"/>
      <c r="V9" s="2240"/>
      <c r="W9" s="2240"/>
      <c r="X9" s="2240"/>
      <c r="Y9" s="2240"/>
      <c r="Z9" s="2305" t="s">
        <v>1080</v>
      </c>
      <c r="AA9" s="2306"/>
      <c r="AB9" s="2240" t="s">
        <v>1081</v>
      </c>
      <c r="AC9" s="2240"/>
      <c r="AD9" s="2240"/>
      <c r="AE9" s="2240"/>
      <c r="AF9" s="2288" t="s">
        <v>1082</v>
      </c>
      <c r="AG9" s="2240" t="s">
        <v>1083</v>
      </c>
      <c r="AH9" s="2240"/>
      <c r="AI9" s="2288" t="s">
        <v>1084</v>
      </c>
      <c r="AJ9" s="2240" t="s">
        <v>1085</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1086</v>
      </c>
      <c r="L10" s="2214" t="s">
        <v>1087</v>
      </c>
      <c r="M10" s="2216"/>
      <c r="N10" s="2240" t="s">
        <v>1088</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7" customFormat="1" customHeight="1" ht="25.2">
      <c r="A11" s="1242"/>
      <c r="B11" s="1242"/>
      <c r="C11" s="1242"/>
      <c r="D11" s="1241"/>
      <c r="E11" s="1243"/>
      <c r="F11" s="2521"/>
      <c r="G11" s="2524"/>
      <c r="H11" s="2525"/>
      <c r="I11" s="2240"/>
      <c r="J11" s="2240"/>
      <c r="K11" s="2240"/>
      <c r="L11" s="2288" t="s">
        <v>1089</v>
      </c>
      <c r="M11" s="2288" t="s">
        <v>1090</v>
      </c>
      <c r="N11" s="2240" t="s">
        <v>1091</v>
      </c>
      <c r="O11" s="2240"/>
      <c r="P11" s="2531" t="s">
        <v>1072</v>
      </c>
      <c r="Q11" s="2531" t="s">
        <v>1092</v>
      </c>
      <c r="R11" s="2531" t="s">
        <v>1093</v>
      </c>
      <c r="S11" s="2531" t="s">
        <v>1094</v>
      </c>
      <c r="T11" s="2531"/>
      <c r="U11" s="2531"/>
      <c r="V11" s="2531"/>
      <c r="W11" s="2531"/>
      <c r="X11" s="2531"/>
      <c r="Y11" s="2531"/>
      <c r="Z11" s="2307"/>
      <c r="AA11" s="2308"/>
      <c r="AB11" s="2240" t="s">
        <v>1095</v>
      </c>
      <c r="AC11" s="2240"/>
      <c r="AD11" s="2214" t="s">
        <v>1096</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1097</v>
      </c>
      <c r="K12" s="2240"/>
      <c r="L12" s="2345"/>
      <c r="M12" s="2345"/>
      <c r="N12" s="2240"/>
      <c r="O12" s="2240"/>
      <c r="P12" s="2531"/>
      <c r="Q12" s="2531"/>
      <c r="R12" s="2531"/>
      <c r="S12" s="1247" t="s">
        <v>86</v>
      </c>
      <c r="T12" s="1247" t="s">
        <v>87</v>
      </c>
      <c r="U12" s="1247" t="s">
        <v>85</v>
      </c>
      <c r="V12" s="1247" t="s">
        <v>1098</v>
      </c>
      <c r="W12" s="1247" t="s">
        <v>85</v>
      </c>
      <c r="X12" s="1247" t="s">
        <v>1099</v>
      </c>
      <c r="Y12" s="1247" t="s">
        <v>1100</v>
      </c>
      <c r="Z12" s="2313"/>
      <c r="AA12" s="2314"/>
      <c r="AB12" s="1254" t="s">
        <v>1101</v>
      </c>
      <c r="AC12" s="1254" t="s">
        <v>1102</v>
      </c>
      <c r="AD12" s="1254" t="s">
        <v>1101</v>
      </c>
      <c r="AE12" s="1254" t="s">
        <v>1102</v>
      </c>
      <c r="AF12" s="2345"/>
      <c r="AG12" s="1267" t="s">
        <v>1103</v>
      </c>
      <c r="AH12" s="1267" t="s">
        <v>1104</v>
      </c>
      <c r="AI12" s="2345"/>
      <c r="AJ12" s="1267" t="s">
        <v>1103</v>
      </c>
      <c r="AK12" s="1267" t="s">
        <v>1104</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1105</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D31B2-4264-871D-17D1-2E89996C283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353" width="4.140625" hidden="1" customWidth="1"/>
    <col min="4" max="4" style="5467" width="4.140625" hidden="1" customWidth="1"/>
    <col min="5" max="5" style="5387" width="3.00390625" customWidth="1"/>
    <col min="6" max="6" style="5387" width="6.00390625" customWidth="1"/>
    <col min="7" max="7" style="5387" width="60.00390625" customWidth="1"/>
    <col min="8" max="9" style="5387" width="21.7109375" hidden="1" customWidth="1"/>
    <col min="10" max="10" style="5387" width="0.140625" customWidth="1"/>
    <col min="11" max="11" style="5387" width="1.00390625" customWidth="1"/>
    <col min="12" max="22" style="5387" width="8.00390625" customWidth="1"/>
    <col min="23" max="23" style="5387" width="9.140625" hidden="1"/>
  </cols>
  <sheetData>
    <row s="5467" customFormat="1" customHeight="1" ht="10.5" hidden="1">
      <c r="A1" s="1279"/>
      <c r="B1" s="1279"/>
      <c r="C1" s="1279"/>
      <c r="E1" s="650"/>
      <c r="W1" s="1273" t="s">
        <v>14</v>
      </c>
    </row>
    <row customHeight="1" ht="10.5" hidden="1">
      <c r="W2" s="1268">
        <v>0</v>
      </c>
    </row>
    <row s="5351"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61"/>
      <c r="H5" s="2361"/>
      <c r="I5" s="2361"/>
      <c r="J5" s="2361"/>
      <c r="W5" s="1268">
        <v>26</v>
      </c>
    </row>
    <row customHeight="1" ht="10.5">
      <c r="F6" s="2289" t="str">
        <f>IF(org=0,"Не определено",org)</f>
        <v>КГУП "Примтеплоэнерго"</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68"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393</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1106</v>
      </c>
      <c r="H10" s="2539" t="s">
        <v>1107</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1108</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1109</v>
      </c>
      <c r="G14" s="2534" t="s">
        <v>1110</v>
      </c>
      <c r="H14" s="2534"/>
      <c r="I14" s="2534"/>
      <c r="J14" s="2534"/>
      <c r="K14" s="1347"/>
      <c r="W14" s="1268">
        <v>11</v>
      </c>
    </row>
    <row customHeight="1" ht="11.549999999999999">
      <c r="F15" s="1343">
        <v>1</v>
      </c>
      <c r="G15" s="803" t="s">
        <v>1111</v>
      </c>
      <c r="H15" s="1349">
        <f>SUM(I15:J15)</f>
        <v>0</v>
      </c>
      <c r="I15" s="1349">
        <f>SUM(I16:I27)</f>
        <v>0</v>
      </c>
      <c r="J15" s="1338"/>
      <c r="K15" s="1347"/>
      <c r="W15" s="1268">
        <v>11</v>
      </c>
    </row>
    <row customHeight="1" ht="24">
      <c r="F16" s="1343" t="s">
        <v>1112</v>
      </c>
      <c r="G16" s="1350" t="s">
        <v>1113</v>
      </c>
      <c r="H16" s="1349">
        <f>SUM(I16:J16)</f>
        <v>0</v>
      </c>
      <c r="I16" s="1348"/>
      <c r="J16" s="1338"/>
      <c r="K16" s="1347"/>
      <c r="W16" s="1268">
        <v>23</v>
      </c>
    </row>
    <row customHeight="1" ht="24">
      <c r="F17" s="1343" t="s">
        <v>1114</v>
      </c>
      <c r="G17" s="1350" t="s">
        <v>1115</v>
      </c>
      <c r="H17" s="1349">
        <f>SUM(I17:J17)</f>
        <v>0</v>
      </c>
      <c r="I17" s="1348"/>
      <c r="J17" s="1338"/>
      <c r="K17" s="1347"/>
      <c r="W17" s="1268">
        <v>23</v>
      </c>
    </row>
    <row customHeight="1" ht="35.699999999999996">
      <c r="F18" s="1343" t="s">
        <v>1116</v>
      </c>
      <c r="G18" s="1350" t="s">
        <v>1117</v>
      </c>
      <c r="H18" s="1349">
        <f>SUM(I18:J18)</f>
        <v>0</v>
      </c>
      <c r="I18" s="1348"/>
      <c r="J18" s="1338"/>
      <c r="K18" s="1347"/>
      <c r="W18" s="1268">
        <v>34</v>
      </c>
    </row>
    <row customHeight="1" ht="35.699999999999996">
      <c r="F19" s="1343" t="s">
        <v>1118</v>
      </c>
      <c r="G19" s="1350" t="s">
        <v>1119</v>
      </c>
      <c r="H19" s="1349">
        <f>SUM(I19:J19)</f>
        <v>0</v>
      </c>
      <c r="I19" s="1348"/>
      <c r="J19" s="1338"/>
      <c r="K19" s="1347"/>
      <c r="W19" s="1268">
        <v>34</v>
      </c>
    </row>
    <row customHeight="1" ht="48.29999999999999">
      <c r="F20" s="1343" t="s">
        <v>1120</v>
      </c>
      <c r="G20" s="1350" t="s">
        <v>1121</v>
      </c>
      <c r="H20" s="1349">
        <f>SUM(I20:J20)</f>
        <v>0</v>
      </c>
      <c r="I20" s="1348"/>
      <c r="J20" s="1338"/>
      <c r="K20" s="1347"/>
      <c r="W20" s="1268">
        <v>46</v>
      </c>
    </row>
    <row customHeight="1" ht="35.699999999999996">
      <c r="F21" s="1343" t="s">
        <v>1122</v>
      </c>
      <c r="G21" s="1350" t="s">
        <v>1123</v>
      </c>
      <c r="H21" s="1349">
        <f>SUM(I21:J21)</f>
        <v>0</v>
      </c>
      <c r="I21" s="1348"/>
      <c r="J21" s="1338"/>
      <c r="K21" s="1347"/>
      <c r="W21" s="1268">
        <v>34</v>
      </c>
    </row>
    <row customHeight="1" ht="35.699999999999996">
      <c r="F22" s="1343" t="s">
        <v>1124</v>
      </c>
      <c r="G22" s="1350" t="s">
        <v>1125</v>
      </c>
      <c r="H22" s="1349">
        <f>SUM(I22:J22)</f>
        <v>0</v>
      </c>
      <c r="I22" s="1348"/>
      <c r="J22" s="1338"/>
      <c r="K22" s="1347"/>
      <c r="W22" s="1268">
        <v>34</v>
      </c>
    </row>
    <row customHeight="1" ht="24">
      <c r="F23" s="1343" t="s">
        <v>1126</v>
      </c>
      <c r="G23" s="1350" t="s">
        <v>1127</v>
      </c>
      <c r="H23" s="1349">
        <f>SUM(I23:J23)</f>
        <v>0</v>
      </c>
      <c r="I23" s="1348"/>
      <c r="J23" s="1338"/>
      <c r="K23" s="1347"/>
      <c r="W23" s="1268">
        <v>23</v>
      </c>
    </row>
    <row customHeight="1" ht="24">
      <c r="F24" s="1343" t="s">
        <v>1128</v>
      </c>
      <c r="G24" s="1350" t="s">
        <v>1129</v>
      </c>
      <c r="H24" s="1349">
        <f>SUM(I24:J24)</f>
        <v>0</v>
      </c>
      <c r="I24" s="1348"/>
      <c r="J24" s="1338"/>
      <c r="K24" s="1347"/>
      <c r="W24" s="1268">
        <v>23</v>
      </c>
    </row>
    <row customHeight="1" ht="35.699999999999996">
      <c r="F25" s="1343" t="s">
        <v>1130</v>
      </c>
      <c r="G25" s="1350" t="s">
        <v>1131</v>
      </c>
      <c r="H25" s="1349">
        <f>SUM(I25:J25)</f>
        <v>0</v>
      </c>
      <c r="I25" s="1348"/>
      <c r="J25" s="1338"/>
      <c r="K25" s="1347"/>
      <c r="W25" s="1268">
        <v>34</v>
      </c>
    </row>
    <row customHeight="1" ht="35.699999999999996">
      <c r="F26" s="1343" t="s">
        <v>1132</v>
      </c>
      <c r="G26" s="1350" t="s">
        <v>1133</v>
      </c>
      <c r="H26" s="1349">
        <f>SUM(I26:J26)</f>
        <v>0</v>
      </c>
      <c r="I26" s="1348"/>
      <c r="J26" s="1338"/>
      <c r="K26" s="1347"/>
      <c r="W26" s="1268">
        <v>34</v>
      </c>
    </row>
    <row customHeight="1" ht="11.549999999999999">
      <c r="F27" s="1343" t="s">
        <v>1134</v>
      </c>
      <c r="G27" s="1350" t="s">
        <v>1135</v>
      </c>
      <c r="H27" s="1349">
        <f>SUM(I27:J27)</f>
        <v>0</v>
      </c>
      <c r="I27" s="1348"/>
      <c r="J27" s="1338"/>
      <c r="K27" s="1347"/>
      <c r="W27" s="1268">
        <v>11</v>
      </c>
    </row>
    <row customHeight="1" ht="11.549999999999999">
      <c r="F28" s="1343">
        <v>2</v>
      </c>
      <c r="G28" s="803" t="s">
        <v>1136</v>
      </c>
      <c r="H28" s="1349">
        <f>SUM(I28:J28)</f>
        <v>0</v>
      </c>
      <c r="I28" s="1349">
        <f>SUM(I29:I31)</f>
        <v>0</v>
      </c>
      <c r="J28" s="1338"/>
      <c r="K28" s="1347"/>
      <c r="W28" s="1268">
        <v>11</v>
      </c>
    </row>
    <row customHeight="1" ht="11.549999999999999">
      <c r="F29" s="1343" t="s">
        <v>799</v>
      </c>
      <c r="G29" s="1350" t="s">
        <v>1137</v>
      </c>
      <c r="H29" s="1349">
        <f>SUM(I29:J29)</f>
        <v>0</v>
      </c>
      <c r="I29" s="1348"/>
      <c r="J29" s="1338"/>
      <c r="K29" s="1347"/>
      <c r="W29" s="1268">
        <v>11</v>
      </c>
    </row>
    <row customHeight="1" ht="11.549999999999999">
      <c r="F30" s="1343" t="s">
        <v>400</v>
      </c>
      <c r="G30" s="1350" t="s">
        <v>1138</v>
      </c>
      <c r="H30" s="1349">
        <f>SUM(I30:J30)</f>
        <v>0</v>
      </c>
      <c r="I30" s="1348"/>
      <c r="J30" s="1338"/>
      <c r="K30" s="1347"/>
      <c r="W30" s="1268">
        <v>11</v>
      </c>
    </row>
    <row customHeight="1" ht="11.549999999999999">
      <c r="F31" s="1343" t="s">
        <v>403</v>
      </c>
      <c r="G31" s="1350" t="s">
        <v>1139</v>
      </c>
      <c r="H31" s="1349">
        <f>SUM(I31:J31)</f>
        <v>0</v>
      </c>
      <c r="I31" s="1348"/>
      <c r="J31" s="1338"/>
      <c r="K31" s="1347"/>
      <c r="W31" s="1268">
        <v>11</v>
      </c>
    </row>
    <row customHeight="1" ht="11.549999999999999">
      <c r="F32" s="1343">
        <v>3</v>
      </c>
      <c r="G32" s="803" t="s">
        <v>1140</v>
      </c>
      <c r="H32" s="1349">
        <f>SUM(I32:J32)</f>
        <v>0</v>
      </c>
      <c r="I32" s="1349">
        <f>SUM(I33:I34)</f>
        <v>0</v>
      </c>
      <c r="J32" s="1338"/>
      <c r="K32" s="1347"/>
      <c r="W32" s="1268">
        <v>11</v>
      </c>
    </row>
    <row customHeight="1" ht="48.29999999999999">
      <c r="F33" s="1343" t="s">
        <v>417</v>
      </c>
      <c r="G33" s="1350" t="s">
        <v>1141</v>
      </c>
      <c r="H33" s="1349">
        <f>SUM(I33:J33)</f>
        <v>0</v>
      </c>
      <c r="I33" s="1348"/>
      <c r="J33" s="1338"/>
      <c r="K33" s="1347"/>
      <c r="W33" s="1268">
        <v>46</v>
      </c>
    </row>
    <row customHeight="1" ht="11.549999999999999">
      <c r="F34" s="1343" t="s">
        <v>425</v>
      </c>
      <c r="G34" s="1350" t="s">
        <v>1142</v>
      </c>
      <c r="H34" s="1349">
        <f>SUM(I34:J34)</f>
        <v>0</v>
      </c>
      <c r="I34" s="1348"/>
      <c r="J34" s="1338"/>
      <c r="K34" s="1347"/>
      <c r="W34" s="1268">
        <v>11</v>
      </c>
    </row>
    <row customHeight="1" ht="11.549999999999999">
      <c r="F35" s="1343">
        <v>4</v>
      </c>
      <c r="G35" s="803" t="s">
        <v>1143</v>
      </c>
      <c r="H35" s="1349">
        <f>SUM(I35:J35)</f>
        <v>0</v>
      </c>
      <c r="I35" s="1348"/>
      <c r="J35" s="1338"/>
      <c r="K35" s="1347"/>
      <c r="W35" s="1268">
        <v>11</v>
      </c>
    </row>
    <row customHeight="1" ht="11.549999999999999">
      <c r="F36" s="1343"/>
      <c r="G36" s="806" t="s">
        <v>1144</v>
      </c>
      <c r="H36" s="1349">
        <f>SUM(I36:J36)</f>
        <v>0</v>
      </c>
      <c r="I36" s="1349">
        <f>SUM(I15,I28,I32,I35)</f>
        <v>0</v>
      </c>
      <c r="J36" s="1338"/>
      <c r="K36" s="1347"/>
      <c r="W36" s="1268">
        <v>11</v>
      </c>
    </row>
    <row customHeight="1" ht="29.25">
      <c r="F37" s="1344" t="s">
        <v>1145</v>
      </c>
      <c r="G37" s="2535" t="s">
        <v>1146</v>
      </c>
      <c r="H37" s="2535"/>
      <c r="I37" s="2535"/>
      <c r="J37" s="2535"/>
      <c r="K37" s="1347"/>
      <c r="W37" s="1268">
        <v>28</v>
      </c>
    </row>
    <row customHeight="1" ht="24">
      <c r="F38" s="1343" t="s">
        <v>136</v>
      </c>
      <c r="G38" s="803" t="s">
        <v>1147</v>
      </c>
      <c r="H38" s="1349">
        <f>SUM(I38:J38)</f>
        <v>0</v>
      </c>
      <c r="I38" s="1349">
        <f>SUM(I39,I44,I47)</f>
        <v>0</v>
      </c>
      <c r="J38" s="1338"/>
      <c r="K38" s="1347"/>
      <c r="W38" s="1268">
        <v>23</v>
      </c>
    </row>
    <row customHeight="1" ht="11.549999999999999">
      <c r="F39" s="1343" t="s">
        <v>1112</v>
      </c>
      <c r="G39" s="1350" t="s">
        <v>1111</v>
      </c>
      <c r="H39" s="1349">
        <f>SUM(I39:J39)</f>
        <v>0</v>
      </c>
      <c r="I39" s="1349">
        <f>SUM(I40:I43)</f>
        <v>0</v>
      </c>
      <c r="J39" s="1338"/>
      <c r="K39" s="1347"/>
      <c r="W39" s="1268">
        <v>11</v>
      </c>
    </row>
    <row customHeight="1" ht="24">
      <c r="F40" s="1343" t="s">
        <v>1148</v>
      </c>
      <c r="G40" s="1351" t="s">
        <v>1149</v>
      </c>
      <c r="H40" s="1349">
        <f>SUM(I40:J40)</f>
        <v>0</v>
      </c>
      <c r="I40" s="1348"/>
      <c r="J40" s="1338"/>
      <c r="K40" s="1347"/>
      <c r="W40" s="1268">
        <v>23</v>
      </c>
    </row>
    <row customHeight="1" ht="11.549999999999999">
      <c r="F41" s="1343" t="s">
        <v>1150</v>
      </c>
      <c r="G41" s="1351" t="s">
        <v>1151</v>
      </c>
      <c r="H41" s="1349">
        <f>SUM(I41:J41)</f>
        <v>0</v>
      </c>
      <c r="I41" s="1348"/>
      <c r="J41" s="1338"/>
      <c r="K41" s="1347"/>
      <c r="W41" s="1268">
        <v>11</v>
      </c>
    </row>
    <row customHeight="1" ht="11.549999999999999">
      <c r="F42" s="1343" t="s">
        <v>1152</v>
      </c>
      <c r="G42" s="1351" t="s">
        <v>1153</v>
      </c>
      <c r="H42" s="1349">
        <f>SUM(I42:J42)</f>
        <v>0</v>
      </c>
      <c r="I42" s="1348"/>
      <c r="J42" s="1338"/>
      <c r="K42" s="1347"/>
      <c r="W42" s="1268">
        <v>11</v>
      </c>
    </row>
    <row customHeight="1" ht="35.699999999999996">
      <c r="F43" s="1343" t="s">
        <v>1154</v>
      </c>
      <c r="G43" s="1351" t="s">
        <v>1155</v>
      </c>
      <c r="H43" s="1349">
        <f>SUM(I43:J43)</f>
        <v>0</v>
      </c>
      <c r="I43" s="1348"/>
      <c r="J43" s="1338"/>
      <c r="K43" s="1347"/>
      <c r="W43" s="1268">
        <v>34</v>
      </c>
    </row>
    <row customHeight="1" ht="11.549999999999999">
      <c r="F44" s="1343" t="s">
        <v>1114</v>
      </c>
      <c r="G44" s="1350" t="s">
        <v>1140</v>
      </c>
      <c r="H44" s="1349">
        <f>SUM(I44:J44)</f>
        <v>0</v>
      </c>
      <c r="I44" s="1349">
        <f>SUM(I45:I46)</f>
        <v>0</v>
      </c>
      <c r="J44" s="1338"/>
      <c r="K44" s="1347"/>
      <c r="W44" s="1268">
        <v>11</v>
      </c>
    </row>
    <row customHeight="1" ht="48.29999999999999">
      <c r="F45" s="1343" t="s">
        <v>1156</v>
      </c>
      <c r="G45" s="1351" t="s">
        <v>1141</v>
      </c>
      <c r="H45" s="1349">
        <f>SUM(I45:J45)</f>
        <v>0</v>
      </c>
      <c r="I45" s="1348"/>
      <c r="J45" s="1338"/>
      <c r="K45" s="1347"/>
      <c r="W45" s="1268">
        <v>46</v>
      </c>
    </row>
    <row customHeight="1" ht="11.549999999999999">
      <c r="F46" s="1343" t="s">
        <v>1157</v>
      </c>
      <c r="G46" s="1351" t="s">
        <v>1142</v>
      </c>
      <c r="H46" s="1349">
        <f>SUM(I46:J46)</f>
        <v>0</v>
      </c>
      <c r="I46" s="1348"/>
      <c r="J46" s="1338"/>
      <c r="K46" s="1347"/>
      <c r="W46" s="1268">
        <v>11</v>
      </c>
    </row>
    <row customHeight="1" ht="11.549999999999999">
      <c r="F47" s="1343" t="s">
        <v>1116</v>
      </c>
      <c r="G47" s="1350" t="s">
        <v>1158</v>
      </c>
      <c r="H47" s="1349">
        <f>SUM(I47:J47)</f>
        <v>0</v>
      </c>
      <c r="I47" s="1348"/>
      <c r="J47" s="1338"/>
      <c r="K47" s="1347"/>
      <c r="W47" s="1268">
        <v>11</v>
      </c>
    </row>
    <row customHeight="1" ht="24">
      <c r="F48" s="1343" t="s">
        <v>103</v>
      </c>
      <c r="G48" s="803" t="s">
        <v>1159</v>
      </c>
      <c r="H48" s="1349">
        <f>SUM(I48:J48)</f>
        <v>0</v>
      </c>
      <c r="I48" s="1349">
        <f>SUM(I49,I54,I57)</f>
        <v>0</v>
      </c>
      <c r="J48" s="1338"/>
      <c r="K48" s="1347"/>
      <c r="W48" s="1268">
        <v>23</v>
      </c>
    </row>
    <row customHeight="1" ht="11.549999999999999">
      <c r="F49" s="1343" t="s">
        <v>799</v>
      </c>
      <c r="G49" s="1350" t="s">
        <v>1111</v>
      </c>
      <c r="H49" s="1349">
        <f>SUM(I49:J49)</f>
        <v>0</v>
      </c>
      <c r="I49" s="1349">
        <f>SUM(I50:I53)</f>
        <v>0</v>
      </c>
      <c r="J49" s="1338"/>
      <c r="K49" s="1347"/>
      <c r="W49" s="1268">
        <v>11</v>
      </c>
    </row>
    <row customHeight="1" ht="24">
      <c r="F50" s="1343" t="s">
        <v>802</v>
      </c>
      <c r="G50" s="1351" t="s">
        <v>1149</v>
      </c>
      <c r="H50" s="1349">
        <f>SUM(I50:J50)</f>
        <v>0</v>
      </c>
      <c r="I50" s="1348"/>
      <c r="J50" s="1338"/>
      <c r="K50" s="1347"/>
      <c r="W50" s="1268">
        <v>23</v>
      </c>
    </row>
    <row customHeight="1" ht="11.549999999999999">
      <c r="F51" s="1343" t="s">
        <v>805</v>
      </c>
      <c r="G51" s="1351" t="s">
        <v>1151</v>
      </c>
      <c r="H51" s="1349">
        <f>SUM(I51:J51)</f>
        <v>0</v>
      </c>
      <c r="I51" s="1348"/>
      <c r="J51" s="1338"/>
      <c r="K51" s="1347"/>
      <c r="W51" s="1268">
        <v>11</v>
      </c>
    </row>
    <row customHeight="1" ht="11.549999999999999">
      <c r="F52" s="1343" t="s">
        <v>1160</v>
      </c>
      <c r="G52" s="1351" t="s">
        <v>1153</v>
      </c>
      <c r="H52" s="1349">
        <f>SUM(I52:J52)</f>
        <v>0</v>
      </c>
      <c r="I52" s="1348"/>
      <c r="J52" s="1338"/>
      <c r="K52" s="1347"/>
      <c r="W52" s="1268">
        <v>11</v>
      </c>
    </row>
    <row customHeight="1" ht="35.699999999999996">
      <c r="F53" s="1343" t="s">
        <v>1161</v>
      </c>
      <c r="G53" s="1351" t="s">
        <v>1155</v>
      </c>
      <c r="H53" s="1349">
        <f>SUM(I53:J53)</f>
        <v>0</v>
      </c>
      <c r="I53" s="1348"/>
      <c r="J53" s="1338"/>
      <c r="K53" s="1347"/>
      <c r="W53" s="1268">
        <v>34</v>
      </c>
    </row>
    <row customHeight="1" ht="11.549999999999999">
      <c r="F54" s="1343" t="s">
        <v>400</v>
      </c>
      <c r="G54" s="1350" t="s">
        <v>1140</v>
      </c>
      <c r="H54" s="1349">
        <f>SUM(I54:J54)</f>
        <v>0</v>
      </c>
      <c r="I54" s="1349">
        <f>SUM(I55:I56)</f>
        <v>0</v>
      </c>
      <c r="J54" s="1338"/>
      <c r="K54" s="1347"/>
      <c r="W54" s="1268">
        <v>11</v>
      </c>
    </row>
    <row customHeight="1" ht="48.29999999999999">
      <c r="F55" s="1343" t="s">
        <v>809</v>
      </c>
      <c r="G55" s="1351" t="s">
        <v>1141</v>
      </c>
      <c r="H55" s="1349">
        <f>SUM(I55:J55)</f>
        <v>0</v>
      </c>
      <c r="I55" s="1348"/>
      <c r="J55" s="1338"/>
      <c r="K55" s="1347"/>
      <c r="W55" s="1268">
        <v>46</v>
      </c>
    </row>
    <row customHeight="1" ht="11.549999999999999">
      <c r="F56" s="1343" t="s">
        <v>811</v>
      </c>
      <c r="G56" s="1351" t="s">
        <v>1142</v>
      </c>
      <c r="H56" s="1349">
        <f>SUM(I56:J56)</f>
        <v>0</v>
      </c>
      <c r="I56" s="1348"/>
      <c r="J56" s="1338"/>
      <c r="K56" s="1347"/>
      <c r="W56" s="1268">
        <v>11</v>
      </c>
    </row>
    <row customHeight="1" ht="11.549999999999999">
      <c r="F57" s="1343" t="s">
        <v>403</v>
      </c>
      <c r="G57" s="1350" t="s">
        <v>1158</v>
      </c>
      <c r="H57" s="1349">
        <f>SUM(I57:J57)</f>
        <v>0</v>
      </c>
      <c r="I57" s="1348"/>
      <c r="J57" s="1338"/>
      <c r="K57" s="1347"/>
      <c r="W57" s="1268">
        <v>11</v>
      </c>
    </row>
    <row customHeight="1" ht="11.549999999999999">
      <c r="F58" s="1343"/>
      <c r="G58" s="1352" t="s">
        <v>1144</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5B3D4-1C88-422F-9DB9-AC8FDDE0219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557" width="4.7109375" hidden="1" customWidth="1"/>
    <col min="2" max="2" style="9563" width="4.7109375" hidden="1" customWidth="1"/>
    <col min="3" max="4" style="9557" width="4.7109375" hidden="1" customWidth="1"/>
    <col min="5" max="5" style="9557" width="3.00390625" customWidth="1"/>
    <col min="6" max="6" style="9557" width="6.00390625" customWidth="1"/>
    <col min="7" max="7" style="9557" width="18.00390625" customWidth="1"/>
    <col min="8" max="8" style="9557" width="27.00390625" customWidth="1"/>
    <col min="9" max="9" style="9557" width="18.00390625" customWidth="1"/>
    <col min="10" max="14" style="9557" width="0.8515625" hidden="1" customWidth="1"/>
    <col min="15" max="28" style="9557" width="21.7109375" hidden="1" customWidth="1"/>
    <col min="29" max="71" style="9557" width="0.8515625" hidden="1" customWidth="1"/>
    <col min="72" max="79" style="9557" width="21.7109375" hidden="1" customWidth="1"/>
    <col min="80" max="81" style="9557" width="29.140625" hidden="1" customWidth="1"/>
    <col min="82" max="89" style="9557" width="21.7109375" hidden="1" customWidth="1"/>
    <col min="90" max="102" style="9557" width="0.7109375" hidden="1" customWidth="1"/>
    <col min="103" max="114" style="9557" width="21.7109375" customWidth="1"/>
    <col min="115" max="128" style="9557" width="0.7109375" customWidth="1"/>
    <col min="129" max="178" style="9557" width="0.7109375" hidden="1" customWidth="1"/>
    <col min="179" max="179" style="9557" width="0.140625" customWidth="1"/>
    <col min="180" max="184" style="9557" width="8.00390625" customWidth="1"/>
    <col min="185" max="185" style="9557" width="9.140625" hidden="1"/>
  </cols>
  <sheetData>
    <row s="9487" customFormat="1" customHeight="1" ht="12" hidden="1">
      <c r="B1" s="1036"/>
      <c r="C1" s="1037"/>
      <c r="D1" s="1037"/>
      <c r="GC1" s="1035" t="s">
        <v>14</v>
      </c>
    </row>
    <row s="9487"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9487"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9497"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9502" customFormat="1" customHeight="1" ht="18.75">
      <c r="B6" s="1056"/>
      <c r="E6" s="1058"/>
      <c r="F6" s="2327" t="str">
        <f>IF(org=0,"Не определено",org)</f>
        <v>КГУП "Примтеплоэнерго"</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9506"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9506" customFormat="1" customHeight="1" ht="11.25" hidden="1">
      <c r="B8" s="1047"/>
      <c r="F8" s="1169"/>
      <c r="G8" s="876"/>
      <c r="H8" s="473"/>
      <c r="I8" s="473"/>
      <c r="J8" s="473"/>
      <c r="K8" s="473"/>
      <c r="L8" s="473"/>
      <c r="M8" s="1169"/>
      <c r="N8" s="1169"/>
      <c r="O8" s="2563" t="s">
        <v>1162</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1163</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9506"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9506" customFormat="1" customHeight="1" ht="11.549999999999999">
      <c r="B10" s="1047"/>
      <c r="F10" s="2542" t="s">
        <v>393</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1164</v>
      </c>
      <c r="H11" s="2550" t="s">
        <v>1165</v>
      </c>
      <c r="I11" s="2550" t="s">
        <v>1166</v>
      </c>
      <c r="J11" s="2551"/>
      <c r="K11" s="2551"/>
      <c r="L11" s="2551"/>
      <c r="M11" s="2551"/>
      <c r="N11" s="2551"/>
      <c r="O11" s="2322" t="s">
        <v>1167</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1167</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1167</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1168</v>
      </c>
      <c r="P12" s="2322"/>
      <c r="Q12" s="2322"/>
      <c r="R12" s="2322"/>
      <c r="S12" s="2322" t="s">
        <v>1169</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1170</v>
      </c>
      <c r="BU12" s="2500"/>
      <c r="BV12" s="2500"/>
      <c r="BW12" s="2546"/>
      <c r="BX12" s="2499" t="s">
        <v>1171</v>
      </c>
      <c r="BY12" s="2500"/>
      <c r="BZ12" s="2500"/>
      <c r="CA12" s="2546"/>
      <c r="CB12" s="2499" t="s">
        <v>1172</v>
      </c>
      <c r="CC12" s="2546"/>
      <c r="CD12" s="2499" t="s">
        <v>1173</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1174</v>
      </c>
      <c r="CZ12" s="2500"/>
      <c r="DA12" s="2500"/>
      <c r="DB12" s="2500"/>
      <c r="DC12" s="2500"/>
      <c r="DD12" s="2546"/>
      <c r="DE12" s="2499" t="s">
        <v>1175</v>
      </c>
      <c r="DF12" s="2546"/>
      <c r="DG12" s="2499" t="s">
        <v>1173</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1176</v>
      </c>
      <c r="P13" s="2322"/>
      <c r="Q13" s="2322"/>
      <c r="R13" s="2322"/>
      <c r="S13" s="2449" t="s">
        <v>1177</v>
      </c>
      <c r="T13" s="2501"/>
      <c r="U13" s="2240" t="s">
        <v>1178</v>
      </c>
      <c r="V13" s="2240"/>
      <c r="W13" s="2240"/>
      <c r="X13" s="2240"/>
      <c r="Y13" s="2240" t="s">
        <v>1179</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1180</v>
      </c>
      <c r="BU13" s="2501"/>
      <c r="BV13" s="2449" t="s">
        <v>1181</v>
      </c>
      <c r="BW13" s="2501"/>
      <c r="BX13" s="2449" t="s">
        <v>1182</v>
      </c>
      <c r="BY13" s="2501"/>
      <c r="BZ13" s="2449" t="s">
        <v>1183</v>
      </c>
      <c r="CA13" s="2501"/>
      <c r="CB13" s="2449" t="s">
        <v>1184</v>
      </c>
      <c r="CC13" s="2501"/>
      <c r="CD13" s="2449" t="s">
        <v>1185</v>
      </c>
      <c r="CE13" s="2501"/>
      <c r="CF13" s="2449" t="s">
        <v>1186</v>
      </c>
      <c r="CG13" s="2501"/>
      <c r="CH13" s="2499" t="s">
        <v>1187</v>
      </c>
      <c r="CI13" s="2500"/>
      <c r="CJ13" s="2500"/>
      <c r="CK13" s="2546"/>
      <c r="CL13" s="2549"/>
      <c r="CM13" s="2547"/>
      <c r="CN13" s="2547"/>
      <c r="CO13" s="2547"/>
      <c r="CP13" s="2547"/>
      <c r="CQ13" s="2547"/>
      <c r="CR13" s="2547"/>
      <c r="CS13" s="2547"/>
      <c r="CT13" s="2547"/>
      <c r="CU13" s="2547"/>
      <c r="CV13" s="2547"/>
      <c r="CW13" s="2547"/>
      <c r="CX13" s="2566"/>
      <c r="CY13" s="2449" t="s">
        <v>1188</v>
      </c>
      <c r="CZ13" s="2501"/>
      <c r="DA13" s="2449" t="s">
        <v>1189</v>
      </c>
      <c r="DB13" s="2501"/>
      <c r="DC13" s="2449" t="s">
        <v>1190</v>
      </c>
      <c r="DD13" s="2501"/>
      <c r="DE13" s="2449" t="s">
        <v>1191</v>
      </c>
      <c r="DF13" s="2501"/>
      <c r="DG13" s="2499" t="s">
        <v>1192</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1193</v>
      </c>
      <c r="P14" s="2501"/>
      <c r="Q14" s="2449" t="s">
        <v>1194</v>
      </c>
      <c r="R14" s="2501"/>
      <c r="S14" s="2450"/>
      <c r="T14" s="2326"/>
      <c r="U14" s="2449" t="s">
        <v>926</v>
      </c>
      <c r="V14" s="2501"/>
      <c r="W14" s="2449" t="s">
        <v>929</v>
      </c>
      <c r="X14" s="2501"/>
      <c r="Y14" s="2449" t="s">
        <v>926</v>
      </c>
      <c r="Z14" s="2501"/>
      <c r="AA14" s="2449" t="s">
        <v>936</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1195</v>
      </c>
      <c r="CI14" s="2501"/>
      <c r="CJ14" s="2449" t="s">
        <v>1196</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1197</v>
      </c>
      <c r="DH14" s="2501"/>
      <c r="DI14" s="2449" t="s">
        <v>1198</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916</v>
      </c>
      <c r="P16" s="2546"/>
      <c r="Q16" s="2499" t="s">
        <v>918</v>
      </c>
      <c r="R16" s="2546"/>
      <c r="S16" s="2499" t="s">
        <v>922</v>
      </c>
      <c r="T16" s="2546"/>
      <c r="U16" s="2499" t="s">
        <v>927</v>
      </c>
      <c r="V16" s="2546"/>
      <c r="W16" s="2499" t="s">
        <v>930</v>
      </c>
      <c r="X16" s="2546"/>
      <c r="Y16" s="2499" t="s">
        <v>934</v>
      </c>
      <c r="Z16" s="2546"/>
      <c r="AA16" s="2499" t="s">
        <v>937</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649</v>
      </c>
      <c r="BU16" s="2546"/>
      <c r="BV16" s="2499" t="s">
        <v>649</v>
      </c>
      <c r="BW16" s="2546"/>
      <c r="BX16" s="2499" t="s">
        <v>649</v>
      </c>
      <c r="BY16" s="2546"/>
      <c r="BZ16" s="2499" t="s">
        <v>649</v>
      </c>
      <c r="CA16" s="2546"/>
      <c r="CB16" s="2499" t="s">
        <v>1199</v>
      </c>
      <c r="CC16" s="2546"/>
      <c r="CD16" s="2499" t="s">
        <v>649</v>
      </c>
      <c r="CE16" s="2546"/>
      <c r="CF16" s="2499" t="s">
        <v>1200</v>
      </c>
      <c r="CG16" s="2546"/>
      <c r="CH16" s="2499" t="s">
        <v>1201</v>
      </c>
      <c r="CI16" s="2546"/>
      <c r="CJ16" s="2499" t="s">
        <v>1201</v>
      </c>
      <c r="CK16" s="2546"/>
      <c r="CL16" s="2549"/>
      <c r="CM16" s="2547"/>
      <c r="CN16" s="2547"/>
      <c r="CO16" s="2547"/>
      <c r="CP16" s="2547"/>
      <c r="CQ16" s="2547"/>
      <c r="CR16" s="2547"/>
      <c r="CS16" s="2547"/>
      <c r="CT16" s="2547"/>
      <c r="CU16" s="2547"/>
      <c r="CV16" s="2547"/>
      <c r="CW16" s="2547"/>
      <c r="CX16" s="2566"/>
      <c r="CY16" s="2449" t="s">
        <v>649</v>
      </c>
      <c r="CZ16" s="2501"/>
      <c r="DA16" s="2449" t="s">
        <v>649</v>
      </c>
      <c r="DB16" s="2501"/>
      <c r="DC16" s="2449" t="s">
        <v>649</v>
      </c>
      <c r="DD16" s="2501"/>
      <c r="DE16" s="2499" t="s">
        <v>1199</v>
      </c>
      <c r="DF16" s="2546"/>
      <c r="DG16" s="2499" t="s">
        <v>1202</v>
      </c>
      <c r="DH16" s="2546"/>
      <c r="DI16" s="2499" t="s">
        <v>1202</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1203</v>
      </c>
      <c r="P17" s="1304" t="s">
        <v>1204</v>
      </c>
      <c r="Q17" s="1304" t="s">
        <v>1203</v>
      </c>
      <c r="R17" s="1304" t="s">
        <v>1204</v>
      </c>
      <c r="S17" s="1304" t="s">
        <v>1203</v>
      </c>
      <c r="T17" s="1304" t="s">
        <v>1204</v>
      </c>
      <c r="U17" s="1304" t="s">
        <v>1203</v>
      </c>
      <c r="V17" s="1304" t="s">
        <v>1204</v>
      </c>
      <c r="W17" s="1304" t="s">
        <v>1203</v>
      </c>
      <c r="X17" s="1304" t="s">
        <v>1204</v>
      </c>
      <c r="Y17" s="1304" t="s">
        <v>1203</v>
      </c>
      <c r="Z17" s="1304" t="s">
        <v>1204</v>
      </c>
      <c r="AA17" s="1304" t="s">
        <v>1203</v>
      </c>
      <c r="AB17" s="1304" t="s">
        <v>1204</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1203</v>
      </c>
      <c r="BU17" s="1304" t="s">
        <v>1204</v>
      </c>
      <c r="BV17" s="1304" t="s">
        <v>1203</v>
      </c>
      <c r="BW17" s="1304" t="s">
        <v>1204</v>
      </c>
      <c r="BX17" s="1304" t="s">
        <v>1203</v>
      </c>
      <c r="BY17" s="1304" t="s">
        <v>1204</v>
      </c>
      <c r="BZ17" s="1304" t="s">
        <v>1203</v>
      </c>
      <c r="CA17" s="1304" t="s">
        <v>1204</v>
      </c>
      <c r="CB17" s="1304" t="s">
        <v>1203</v>
      </c>
      <c r="CC17" s="1304" t="s">
        <v>1204</v>
      </c>
      <c r="CD17" s="1304" t="s">
        <v>1203</v>
      </c>
      <c r="CE17" s="1304" t="s">
        <v>1204</v>
      </c>
      <c r="CF17" s="1304" t="s">
        <v>1203</v>
      </c>
      <c r="CG17" s="1304" t="s">
        <v>1204</v>
      </c>
      <c r="CH17" s="1304" t="s">
        <v>1203</v>
      </c>
      <c r="CI17" s="1304" t="s">
        <v>1204</v>
      </c>
      <c r="CJ17" s="1304" t="s">
        <v>1203</v>
      </c>
      <c r="CK17" s="1304" t="s">
        <v>1204</v>
      </c>
      <c r="CL17" s="2549"/>
      <c r="CM17" s="2547"/>
      <c r="CN17" s="2547"/>
      <c r="CO17" s="2547"/>
      <c r="CP17" s="2547"/>
      <c r="CQ17" s="2547"/>
      <c r="CR17" s="2547"/>
      <c r="CS17" s="2547"/>
      <c r="CT17" s="2547"/>
      <c r="CU17" s="2547"/>
      <c r="CV17" s="2547"/>
      <c r="CW17" s="2547"/>
      <c r="CX17" s="2566"/>
      <c r="CY17" s="1304" t="s">
        <v>1203</v>
      </c>
      <c r="CZ17" s="1304" t="s">
        <v>1204</v>
      </c>
      <c r="DA17" s="1304" t="s">
        <v>1203</v>
      </c>
      <c r="DB17" s="1304" t="s">
        <v>1204</v>
      </c>
      <c r="DC17" s="1304" t="s">
        <v>1203</v>
      </c>
      <c r="DD17" s="1304" t="s">
        <v>1204</v>
      </c>
      <c r="DE17" s="1304" t="s">
        <v>1203</v>
      </c>
      <c r="DF17" s="1304" t="s">
        <v>1204</v>
      </c>
      <c r="DG17" s="1304" t="s">
        <v>1203</v>
      </c>
      <c r="DH17" s="1304" t="s">
        <v>1204</v>
      </c>
      <c r="DI17" s="1304" t="s">
        <v>1203</v>
      </c>
      <c r="DJ17" s="1304" t="s">
        <v>1204</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9487"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9487"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9487" customFormat="1" customHeight="1" ht="11.25" hidden="1">
      <c r="B20" s="1053"/>
      <c r="D20" s="1037"/>
      <c r="E20" s="1052"/>
      <c r="F20" s="1310" t="s">
        <v>469</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9487"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9487" customFormat="1" customHeight="1" ht="12.75">
      <c r="A22" s="1054"/>
      <c r="B22" s="1054"/>
      <c r="C22" s="1054"/>
      <c r="D22" s="1054"/>
      <c r="E22" s="1054"/>
      <c r="FX22" s="1054"/>
      <c r="FY22" s="1054"/>
      <c r="FZ22" s="1054"/>
      <c r="GA22" s="1054"/>
      <c r="GB22" s="1054"/>
      <c r="GC22" s="1035">
        <v>12</v>
      </c>
    </row>
    <row s="9557"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A62D9-3CD7-671D-945A-1D5EF37BDF8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351" width="9.140625" hidden="1" customWidth="1"/>
    <col min="2" max="2" style="5387" width="9.140625" hidden="1" customWidth="1"/>
    <col min="3" max="3" style="9382" width="4.00390625" customWidth="1"/>
    <col min="4" max="4" style="5387" width="6.00390625" customWidth="1"/>
    <col min="5" max="5" style="5387" width="36.00390625" customWidth="1"/>
    <col min="6" max="6" style="5387" width="9.00390625" customWidth="1"/>
    <col min="7" max="7" style="5387" width="42.421875" hidden="1" customWidth="1"/>
    <col min="8" max="8" style="5387" width="40.7109375" customWidth="1"/>
    <col min="9" max="9" style="5467" width="93.00390625" customWidth="1"/>
    <col min="10" max="17" style="5387" width="10.00390625" customWidth="1"/>
    <col min="18" max="18" style="9383" width="10.00390625" customWidth="1"/>
    <col min="19" max="19" style="5387" width="10.57421875" hidden="1"/>
  </cols>
  <sheetData>
    <row s="5467" customFormat="1" customHeight="1" ht="15" hidden="1">
      <c r="C1" s="785"/>
      <c r="H1" s="530">
        <v>4</v>
      </c>
      <c r="R1" s="533"/>
      <c r="S1" s="530" t="s">
        <v>14</v>
      </c>
    </row>
    <row customHeight="1" ht="22.5" hidden="1">
      <c r="C2" s="2041" t="s">
        <v>104</v>
      </c>
      <c r="D2" s="652"/>
      <c r="E2" s="776"/>
      <c r="F2" s="1874" t="str">
        <f>IF(TEMPLATE_SPHERE="HEAT","Гкал/час","тыс. куб. м/сутки")</f>
        <v>тыс. куб. м/сутки</v>
      </c>
      <c r="G2" s="793"/>
      <c r="H2" s="793"/>
      <c r="I2" s="402"/>
      <c r="S2" s="618">
        <v>0</v>
      </c>
    </row>
    <row s="5467"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50"/>
      <c r="F5" s="2350"/>
      <c r="G5" s="2350"/>
      <c r="H5" s="2350"/>
      <c r="I5" s="650"/>
      <c r="S5" s="618">
        <v>38</v>
      </c>
    </row>
    <row customHeight="1" ht="15.75">
      <c r="C6" s="289"/>
      <c r="D6" s="2289" t="str">
        <f>IF(org=0,"Не определено",org)</f>
        <v>КГУП "Примтеплоэнерго"</v>
      </c>
      <c r="E6" s="2289"/>
      <c r="F6" s="2289"/>
      <c r="G6" s="2289"/>
      <c r="H6" s="2289"/>
      <c r="I6" s="650"/>
      <c r="S6" s="618">
        <v>15</v>
      </c>
    </row>
    <row s="5387" customFormat="1" customHeight="1" ht="15.75">
      <c r="A7" s="872"/>
      <c r="C7" s="289"/>
      <c r="D7" s="789"/>
      <c r="E7" s="789"/>
      <c r="F7" s="789"/>
      <c r="G7" s="789"/>
      <c r="H7" s="865"/>
      <c r="I7" s="650"/>
      <c r="R7" s="788"/>
      <c r="S7" s="871">
        <v>15</v>
      </c>
    </row>
    <row customHeight="1" ht="1.05">
      <c r="C8" s="289"/>
      <c r="D8" s="622"/>
      <c r="E8" s="622"/>
      <c r="F8" s="622"/>
      <c r="G8" s="622"/>
      <c r="H8" s="650" t="s">
        <v>149</v>
      </c>
      <c r="S8" s="618">
        <v>1</v>
      </c>
    </row>
    <row customHeight="1" ht="15.75">
      <c r="C9" s="289"/>
      <c r="D9" s="824"/>
      <c r="E9" s="2480" t="s">
        <v>141</v>
      </c>
      <c r="F9" s="2481"/>
      <c r="G9" s="929" t="str">
        <f>IF(G8="","",INDEX(DIFFERENTIATION_UNMERGE_VD,MATCH(G8,DIFFERENTIATION_ID_DIFF,0)))</f>
        <v/>
      </c>
      <c r="H9" s="929">
        <f>IF(H8="","",INDEX(DIFFERENTIATION_UNMERGE_VD,MATCH(H8,DIFFERENTIATION_ID_DIFF,0)))</f>
        <v>0</v>
      </c>
      <c r="I9" s="2240" t="s">
        <v>394</v>
      </c>
      <c r="S9" s="618">
        <v>15</v>
      </c>
    </row>
    <row s="5387" customFormat="1" customHeight="1" ht="15.75">
      <c r="A10" s="872"/>
      <c r="C10" s="289"/>
      <c r="D10" s="824"/>
      <c r="E10" s="2480" t="s">
        <v>655</v>
      </c>
      <c r="F10" s="2481"/>
      <c r="G10" s="929" t="str">
        <f>IF(G8="","",INDEX(DIFFERENTIATION_UNMERGE_AREA,MATCH(G8,DIFFERENTIATION_ID_DIFF,0)))</f>
        <v/>
      </c>
      <c r="H10" s="929" t="str">
        <f>IF(H8="","",INDEX(DIFFERENTIATION_UNMERGE_AREA,MATCH(H8,DIFFERENTIATION_ID_DIFF,0)))</f>
        <v/>
      </c>
      <c r="I10" s="2240"/>
      <c r="R10" s="788"/>
      <c r="S10" s="871">
        <v>15</v>
      </c>
    </row>
    <row s="5387" customFormat="1" customHeight="1" ht="15.75">
      <c r="A11" s="872"/>
      <c r="C11" s="289"/>
      <c r="D11" s="824"/>
      <c r="E11" s="2480" t="s">
        <v>656</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7" customFormat="1" customHeight="1" ht="15.75">
      <c r="A12" s="872"/>
      <c r="C12" s="289"/>
      <c r="D12" s="2482" t="s">
        <v>393</v>
      </c>
      <c r="E12" s="2483"/>
      <c r="F12" s="2483"/>
      <c r="G12" s="1000"/>
      <c r="H12" s="1000"/>
      <c r="I12" s="2240"/>
      <c r="R12" s="788"/>
      <c r="S12" s="871">
        <v>15</v>
      </c>
    </row>
    <row customHeight="1" ht="35.699999999999996">
      <c r="C13" s="289"/>
      <c r="D13" s="874" t="s">
        <v>88</v>
      </c>
      <c r="E13" s="873" t="s">
        <v>395</v>
      </c>
      <c r="F13" s="873" t="s">
        <v>657</v>
      </c>
      <c r="G13" s="921" t="s">
        <v>396</v>
      </c>
      <c r="H13" s="867" t="s">
        <v>396</v>
      </c>
      <c r="I13" s="2240"/>
      <c r="S13" s="618">
        <v>34</v>
      </c>
    </row>
    <row customHeight="1" ht="15" hidden="1">
      <c r="C14" s="289"/>
      <c r="D14" s="706" t="s">
        <v>136</v>
      </c>
      <c r="E14" s="706" t="s">
        <v>103</v>
      </c>
      <c r="F14" s="706" t="s">
        <v>90</v>
      </c>
      <c r="G14" s="772" t="str">
        <f>G1&amp;".1"</f>
        <v>.1</v>
      </c>
      <c r="H14" s="772" t="str">
        <f>H1&amp;".1"</f>
        <v>4.1</v>
      </c>
      <c r="I14" s="402"/>
      <c r="S14" s="618">
        <v>0</v>
      </c>
    </row>
    <row customHeight="1" ht="15.75">
      <c r="A15" s="618"/>
      <c r="C15" s="639"/>
      <c r="D15" s="634">
        <v>1</v>
      </c>
      <c r="E15" s="2043" t="str">
        <f>TP_P_A</f>
        <v>Количество поданных заявлений </v>
      </c>
      <c r="F15" s="634" t="s">
        <v>1205</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618">
        <v>15</v>
      </c>
    </row>
    <row customHeight="1" ht="15.75">
      <c r="A16" s="618"/>
      <c r="C16" s="639"/>
      <c r="D16" s="634">
        <v>2</v>
      </c>
      <c r="E16" s="2043" t="str">
        <f>TP_P_B</f>
        <v>Количество исполненных заявлений </v>
      </c>
      <c r="F16" s="634" t="s">
        <v>1205</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1205</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водоотведения</v>
      </c>
      <c r="F18" s="634" t="s">
        <v>399</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618">
        <v>57</v>
      </c>
    </row>
    <row customHeight="1" ht="15" hidden="1">
      <c r="D20" s="622" t="s">
        <v>1206</v>
      </c>
      <c r="E20" s="801"/>
      <c r="F20" s="622"/>
      <c r="G20" s="622"/>
      <c r="H20" s="622"/>
      <c r="I20" s="1876"/>
      <c r="S20" s="618">
        <v>0</v>
      </c>
    </row>
    <row customHeight="1" ht="29.25">
      <c r="C21" s="564"/>
      <c r="D21" s="652" t="s">
        <v>406</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618">
        <v>28</v>
      </c>
    </row>
    <row customHeight="1" ht="15.75">
      <c r="A22" s="618"/>
      <c r="C22" s="618"/>
      <c r="D22" s="460"/>
      <c r="E22" s="693" t="s">
        <v>1207</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723D3-0DD6-AF59-636F-EDF7947688E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318" width="9.140625" hidden="1" customWidth="1"/>
    <col min="2" max="2" style="5467" width="9.140625" hidden="1" customWidth="1"/>
    <col min="3" max="3" style="6319" width="3.00390625" customWidth="1"/>
    <col min="4" max="4" style="5387" width="6.00390625" customWidth="1"/>
    <col min="5" max="6" style="5387" width="64.00390625" customWidth="1"/>
    <col min="7" max="7" style="5387" width="140.00390625" customWidth="1"/>
    <col min="8" max="8" style="5387" width="10.00390625" customWidth="1"/>
    <col min="9" max="10" style="5567" width="10.00390625" customWidth="1"/>
    <col min="11" max="16" style="5387" width="10.00390625" customWidth="1"/>
    <col min="17" max="17" style="5387"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68"/>
      <c r="F5" s="2568"/>
      <c r="G5" s="2569"/>
      <c r="Q5" s="196">
        <v>28</v>
      </c>
    </row>
    <row s="5387" customFormat="1" customHeight="1" ht="18.75">
      <c r="A6" s="995"/>
      <c r="B6" s="530"/>
      <c r="C6" s="489"/>
      <c r="D6" s="2570" t="str">
        <f>IF(org=0,"Не определено",org)</f>
        <v>КГУП "Примтеплоэнерго"</v>
      </c>
      <c r="E6" s="2571"/>
      <c r="F6" s="2571"/>
      <c r="G6" s="2572"/>
      <c r="I6" s="613"/>
      <c r="J6" s="613"/>
      <c r="Q6" s="871">
        <v>18</v>
      </c>
    </row>
    <row customHeight="1" ht="14.699999999999998">
      <c r="C7" s="209"/>
      <c r="D7" s="197"/>
      <c r="E7" s="208"/>
      <c r="F7" s="865"/>
      <c r="G7" s="306"/>
      <c r="Q7" s="196">
        <v>14</v>
      </c>
    </row>
    <row s="5387" customFormat="1" customHeight="1" ht="1.05">
      <c r="A8" s="1782"/>
      <c r="B8" s="1273"/>
      <c r="C8" s="489"/>
      <c r="D8" s="476"/>
      <c r="E8" s="502"/>
      <c r="F8" s="865"/>
      <c r="G8" s="306"/>
      <c r="I8" s="1737"/>
      <c r="J8" s="1737"/>
      <c r="Q8" s="1744">
        <v>1</v>
      </c>
    </row>
    <row customHeight="1" ht="14.699999999999998">
      <c r="C9" s="209"/>
      <c r="D9" s="2322" t="s">
        <v>393</v>
      </c>
      <c r="E9" s="2322"/>
      <c r="F9" s="2322"/>
      <c r="G9" s="2502" t="s">
        <v>394</v>
      </c>
      <c r="Q9" s="196">
        <v>14</v>
      </c>
    </row>
    <row customHeight="1" ht="24">
      <c r="C10" s="209"/>
      <c r="D10" s="218" t="s">
        <v>88</v>
      </c>
      <c r="E10" s="221" t="s">
        <v>395</v>
      </c>
      <c r="F10" s="221" t="s">
        <v>483</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11" t="s">
        <v>399</v>
      </c>
      <c r="G12" s="264"/>
      <c r="Q12" s="196">
        <v>62</v>
      </c>
    </row>
    <row customHeight="1" ht="24">
      <c r="A13" s="305"/>
      <c r="C13" s="209"/>
      <c r="D13" s="260" t="s">
        <v>1112</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399</v>
      </c>
      <c r="G13" s="264"/>
      <c r="Q13" s="196">
        <v>23</v>
      </c>
    </row>
    <row customHeight="1" ht="14.699999999999998">
      <c r="A14" s="305"/>
      <c r="C14" s="209"/>
      <c r="D14" s="260" t="s">
        <v>1148</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1208</v>
      </c>
      <c r="F15" s="314"/>
      <c r="G15" s="2284"/>
      <c r="Q15" s="196">
        <v>15</v>
      </c>
    </row>
    <row customHeight="1" ht="14.699999999999998">
      <c r="A16" s="305"/>
      <c r="C16" s="209"/>
      <c r="D16" s="260" t="s">
        <v>1114</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11" t="s">
        <v>399</v>
      </c>
      <c r="G16" s="450"/>
      <c r="Q16" s="196">
        <v>14</v>
      </c>
    </row>
    <row customHeight="1" ht="14.699999999999998">
      <c r="A17" s="305"/>
      <c r="C17" s="209"/>
      <c r="D17" s="260" t="s">
        <v>1156</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96">
        <v>14</v>
      </c>
    </row>
    <row s="5387" customFormat="1" customHeight="1" ht="22.049999999999997">
      <c r="A18" s="456"/>
      <c r="B18" s="259"/>
      <c r="C18" s="420"/>
      <c r="D18" s="460"/>
      <c r="E18" s="462" t="s">
        <v>1209</v>
      </c>
      <c r="F18" s="451"/>
      <c r="G18" s="2284"/>
      <c r="I18" s="463"/>
      <c r="J18" s="463"/>
      <c r="Q18" s="455">
        <v>21</v>
      </c>
    </row>
    <row s="5387" customFormat="1" customHeight="1" ht="256.5" hidden="1">
      <c r="A19" s="456"/>
      <c r="B19" s="530"/>
      <c r="C19" s="489"/>
      <c r="D19" s="997" t="s">
        <v>1116</v>
      </c>
      <c r="E19" s="996" t="s">
        <v>1210</v>
      </c>
      <c r="F19" s="498"/>
      <c r="G19" s="450" t="s">
        <v>1211</v>
      </c>
      <c r="I19" s="613"/>
      <c r="J19" s="613"/>
      <c r="Q19" s="871">
        <v>0</v>
      </c>
    </row>
    <row s="5387" customFormat="1" customHeight="1" ht="14.699999999999998">
      <c r="A20" s="456"/>
      <c r="B20" s="259"/>
      <c r="C20" s="420"/>
      <c r="D20" s="998">
        <v>2</v>
      </c>
      <c r="E20" s="443" t="s">
        <v>1212</v>
      </c>
      <c r="F20" s="311" t="s">
        <v>399</v>
      </c>
      <c r="G20" s="450"/>
      <c r="I20" s="463"/>
      <c r="J20" s="463"/>
      <c r="Q20" s="455">
        <v>14</v>
      </c>
    </row>
    <row s="5387" customFormat="1" customHeight="1" ht="18.75" hidden="1">
      <c r="A21" s="456"/>
      <c r="B21" s="259"/>
      <c r="C21" s="420"/>
      <c r="D21" s="446" t="s">
        <v>727</v>
      </c>
      <c r="E21" s="445"/>
      <c r="F21" s="444"/>
      <c r="G21" s="454"/>
      <c r="H21" s="447"/>
      <c r="I21" s="463"/>
      <c r="J21" s="463"/>
      <c r="Q21" s="455">
        <v>0</v>
      </c>
    </row>
    <row customHeight="1" ht="15.75">
      <c r="A22" s="305"/>
      <c r="C22" s="209"/>
      <c r="D22" s="222"/>
      <c r="E22" s="316" t="s">
        <v>415</v>
      </c>
      <c r="F22" s="451"/>
      <c r="G22" s="452"/>
      <c r="Q22" s="196">
        <v>15</v>
      </c>
    </row>
    <row s="5387" customFormat="1" customHeight="1" ht="22.5" hidden="1">
      <c r="A23" s="456"/>
      <c r="B23" s="1273"/>
      <c r="C23" s="489"/>
      <c r="D23" s="1786" t="s">
        <v>103</v>
      </c>
      <c r="E23" s="310" t="s">
        <v>1213</v>
      </c>
      <c r="F23" s="1783" t="s">
        <v>399</v>
      </c>
      <c r="G23" s="458"/>
      <c r="I23" s="1737"/>
      <c r="J23" s="1737"/>
      <c r="Q23" s="1744">
        <v>0</v>
      </c>
    </row>
    <row s="5387" customFormat="1" customHeight="1" ht="14.25" hidden="1">
      <c r="A24" s="456"/>
      <c r="B24" s="1273"/>
      <c r="C24" s="489"/>
      <c r="D24" s="1786" t="s">
        <v>799</v>
      </c>
      <c r="E24" s="1785" t="s">
        <v>1214</v>
      </c>
      <c r="F24" s="1783" t="s">
        <v>399</v>
      </c>
      <c r="G24" s="450"/>
      <c r="I24" s="1737"/>
      <c r="J24" s="1737"/>
      <c r="Q24" s="1744">
        <v>0</v>
      </c>
    </row>
    <row s="5387" customFormat="1" customHeight="1" ht="14.25" hidden="1">
      <c r="A25" s="456"/>
      <c r="B25" s="1273"/>
      <c r="C25" s="489"/>
      <c r="D25" s="1786" t="s">
        <v>802</v>
      </c>
      <c r="E25" s="308"/>
      <c r="F25" s="498"/>
      <c r="G25" s="2282" t="s">
        <v>1215</v>
      </c>
      <c r="I25" s="1737"/>
      <c r="J25" s="1737"/>
      <c r="Q25" s="1744">
        <v>0</v>
      </c>
    </row>
    <row s="5387" customFormat="1" customHeight="1" ht="22.5" hidden="1">
      <c r="A26" s="456"/>
      <c r="B26" s="1273"/>
      <c r="C26" s="489"/>
      <c r="D26" s="460"/>
      <c r="E26" s="462" t="s">
        <v>1216</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C66C2-70CE-530B-27CC-4E50E472ECC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317" width="9.140625" hidden="1" customWidth="1"/>
    <col min="2" max="2" style="5467" width="9.140625" hidden="1" customWidth="1"/>
    <col min="3" max="3" style="6319" width="3.00390625" customWidth="1"/>
    <col min="4" max="4" style="5387" width="6.00390625" customWidth="1"/>
    <col min="5" max="5" style="5387" width="63.00390625" customWidth="1"/>
    <col min="6" max="6" style="5387" width="1.7109375" hidden="1" customWidth="1"/>
    <col min="7" max="8" style="5387" width="35.00390625" customWidth="1"/>
    <col min="9" max="9" style="5387" width="91.00390625" customWidth="1"/>
    <col min="10" max="10" style="5387" width="68.00390625" customWidth="1"/>
    <col min="11" max="12" style="5567" width="10.00390625" customWidth="1"/>
    <col min="13" max="13" style="5387" width="10.57421875" hidden="1"/>
  </cols>
  <sheetData>
    <row customHeight="1" ht="22.5" hidden="1">
      <c r="M1" s="196" t="s">
        <v>14</v>
      </c>
    </row>
    <row s="5387" customFormat="1" customHeight="1" ht="18.75" hidden="1">
      <c r="A2" s="1796"/>
      <c r="B2" s="1273"/>
      <c r="C2" s="1843" t="s">
        <v>104</v>
      </c>
      <c r="D2" s="1786"/>
      <c r="E2" s="312"/>
      <c r="F2" s="1783"/>
      <c r="G2" s="1783" t="s">
        <v>399</v>
      </c>
      <c r="H2" s="1274"/>
      <c r="K2" s="1737"/>
      <c r="L2" s="1737"/>
      <c r="M2" s="1744">
        <v>0</v>
      </c>
    </row>
    <row s="5387" customFormat="1" customHeight="1" ht="14.25" hidden="1">
      <c r="A3" s="1475"/>
      <c r="B3" s="1273"/>
      <c r="C3" s="457"/>
      <c r="K3" s="1737"/>
      <c r="L3" s="1737"/>
      <c r="M3" s="1744">
        <v>0</v>
      </c>
    </row>
    <row s="5387" customFormat="1" customHeight="1" ht="18.75" hidden="1">
      <c r="A4" s="1796"/>
      <c r="B4" s="1273"/>
      <c r="C4" s="1843" t="s">
        <v>104</v>
      </c>
      <c r="D4" s="1786"/>
      <c r="E4" s="318" t="s">
        <v>1217</v>
      </c>
      <c r="F4" s="1783"/>
      <c r="G4" s="370"/>
      <c r="H4" s="1783" t="s">
        <v>399</v>
      </c>
      <c r="K4" s="1737"/>
      <c r="L4" s="1737"/>
      <c r="M4" s="1744">
        <v>0</v>
      </c>
    </row>
    <row s="5387" customFormat="1" customHeight="1" ht="14.25" hidden="1">
      <c r="A5" s="1475"/>
      <c r="B5" s="1273"/>
      <c r="C5" s="457"/>
      <c r="K5" s="1737"/>
      <c r="L5" s="1737"/>
      <c r="M5" s="1744">
        <v>0</v>
      </c>
    </row>
    <row s="5387" customFormat="1" customHeight="1" ht="18.75" hidden="1">
      <c r="A6" s="1796"/>
      <c r="B6" s="1273"/>
      <c r="C6" s="1843" t="s">
        <v>104</v>
      </c>
      <c r="D6" s="1786"/>
      <c r="E6" s="319" t="s">
        <v>1218</v>
      </c>
      <c r="F6" s="1783"/>
      <c r="G6" s="370"/>
      <c r="H6" s="1783" t="s">
        <v>399</v>
      </c>
      <c r="K6" s="1737"/>
      <c r="L6" s="1737"/>
      <c r="M6" s="1744">
        <v>0</v>
      </c>
    </row>
    <row s="5387" customFormat="1" customHeight="1" ht="14.25" hidden="1">
      <c r="A7" s="1475"/>
      <c r="B7" s="1273"/>
      <c r="C7" s="457"/>
      <c r="K7" s="1737"/>
      <c r="L7" s="1737"/>
      <c r="M7" s="1744">
        <v>0</v>
      </c>
    </row>
    <row s="5387" customFormat="1" customHeight="1" ht="18.75" hidden="1">
      <c r="A8" s="1796"/>
      <c r="B8" s="1273"/>
      <c r="C8" s="1843" t="s">
        <v>104</v>
      </c>
      <c r="D8" s="1786"/>
      <c r="E8" s="319" t="s">
        <v>1219</v>
      </c>
      <c r="F8" s="1783"/>
      <c r="G8" s="370"/>
      <c r="H8" s="1783" t="s">
        <v>399</v>
      </c>
      <c r="K8" s="1737"/>
      <c r="L8" s="1737"/>
      <c r="M8" s="1744">
        <v>0</v>
      </c>
    </row>
    <row s="5387" customFormat="1" customHeight="1" ht="14.25" hidden="1">
      <c r="A9" s="1475"/>
      <c r="B9" s="1273"/>
      <c r="C9" s="457"/>
      <c r="K9" s="1737"/>
      <c r="L9" s="1737"/>
      <c r="M9" s="1744">
        <v>0</v>
      </c>
    </row>
    <row s="5387" customFormat="1" customHeight="1" ht="18.75" hidden="1">
      <c r="A10" s="1796"/>
      <c r="B10" s="1273"/>
      <c r="C10" s="1843" t="s">
        <v>104</v>
      </c>
      <c r="D10" s="1786"/>
      <c r="E10" s="319" t="s">
        <v>1220</v>
      </c>
      <c r="F10" s="1783"/>
      <c r="G10" s="1787"/>
      <c r="H10" s="1783" t="s">
        <v>399</v>
      </c>
      <c r="K10" s="1737"/>
      <c r="L10" s="1737" t="s">
        <v>1221</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68"/>
      <c r="F14" s="2568"/>
      <c r="G14" s="2568"/>
      <c r="H14" s="2569"/>
      <c r="J14" s="1744"/>
      <c r="M14" s="196">
        <v>28</v>
      </c>
    </row>
    <row s="5387" customFormat="1" customHeight="1" ht="14.699999999999998">
      <c r="A15" s="1475"/>
      <c r="B15" s="1273"/>
      <c r="C15" s="489"/>
      <c r="D15" s="2570" t="str">
        <f>IF(org=0,"Не определено",org)</f>
        <v>КГУП "Примтеплоэнерго"</v>
      </c>
      <c r="E15" s="2571"/>
      <c r="F15" s="2571"/>
      <c r="G15" s="2571"/>
      <c r="H15" s="2572"/>
      <c r="J15" s="965"/>
      <c r="K15" s="1737"/>
      <c r="L15" s="1737"/>
      <c r="M15" s="1744">
        <v>14</v>
      </c>
    </row>
    <row customHeight="1" ht="14.699999999999998">
      <c r="C16" s="209"/>
      <c r="D16" s="197"/>
      <c r="E16" s="208"/>
      <c r="F16" s="208"/>
      <c r="G16" s="208"/>
      <c r="H16" s="865"/>
      <c r="I16" s="306"/>
      <c r="M16" s="196">
        <v>14</v>
      </c>
    </row>
    <row s="5387" customFormat="1" customHeight="1" ht="14.25" hidden="1">
      <c r="A17" s="1475"/>
      <c r="B17" s="1273"/>
      <c r="C17" s="489"/>
      <c r="D17" s="476"/>
      <c r="E17" s="502"/>
      <c r="F17" s="502"/>
      <c r="G17" s="502"/>
      <c r="H17" s="865"/>
      <c r="I17" s="306"/>
      <c r="K17" s="1737"/>
      <c r="L17" s="1737"/>
      <c r="M17" s="1744">
        <v>0</v>
      </c>
    </row>
    <row customHeight="1" ht="22.049999999999997">
      <c r="C18" s="209"/>
      <c r="D18" s="2322" t="s">
        <v>393</v>
      </c>
      <c r="E18" s="2322"/>
      <c r="F18" s="2322"/>
      <c r="G18" s="2322"/>
      <c r="H18" s="2322"/>
      <c r="I18" s="2502" t="s">
        <v>394</v>
      </c>
      <c r="M18" s="196">
        <v>21</v>
      </c>
    </row>
    <row customHeight="1" ht="22.049999999999997">
      <c r="C19" s="209"/>
      <c r="D19" s="218" t="s">
        <v>88</v>
      </c>
      <c r="E19" s="221" t="s">
        <v>395</v>
      </c>
      <c r="F19" s="221"/>
      <c r="G19" s="221" t="s">
        <v>396</v>
      </c>
      <c r="H19" s="221" t="s">
        <v>483</v>
      </c>
      <c r="I19" s="2502"/>
      <c r="M19" s="196">
        <v>21</v>
      </c>
    </row>
    <row customHeight="1" ht="12" hidden="1">
      <c r="C20" s="209"/>
      <c r="D20" s="200"/>
      <c r="E20" s="200"/>
      <c r="F20" s="200"/>
      <c r="G20" s="200"/>
      <c r="H20" s="200"/>
      <c r="I20" s="200"/>
      <c r="M20" s="196">
        <v>0</v>
      </c>
    </row>
    <row customHeight="1" ht="14.699999999999998">
      <c r="A21" s="1796"/>
      <c r="C21" s="209"/>
      <c r="D21" s="260">
        <v>1</v>
      </c>
      <c r="E21" s="2574" t="s">
        <v>1222</v>
      </c>
      <c r="F21" s="2574"/>
      <c r="G21" s="2574"/>
      <c r="H21" s="2574"/>
      <c r="I21" s="321"/>
      <c r="M21" s="196">
        <v>14</v>
      </c>
    </row>
    <row customHeight="1" ht="21">
      <c r="A22" s="1796"/>
      <c r="C22" s="209"/>
      <c r="D22" s="260" t="s">
        <v>1112</v>
      </c>
      <c r="E22" s="307" t="s">
        <v>1223</v>
      </c>
      <c r="F22" s="311"/>
      <c r="G22" s="1850"/>
      <c r="H22" s="311" t="s">
        <v>399</v>
      </c>
      <c r="I22" s="264" t="s">
        <v>1224</v>
      </c>
      <c r="M22" s="196">
        <v>20</v>
      </c>
    </row>
    <row customHeight="1" ht="60">
      <c r="A23" s="1796"/>
      <c r="C23" s="209"/>
      <c r="D23" s="260" t="s">
        <v>1114</v>
      </c>
      <c r="E23" s="307" t="s">
        <v>1225</v>
      </c>
      <c r="F23" s="311"/>
      <c r="G23" s="370"/>
      <c r="H23" s="326"/>
      <c r="I23" s="371" t="s">
        <v>1226</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11"/>
      <c r="G24" s="311" t="s">
        <v>399</v>
      </c>
      <c r="H24" s="326"/>
      <c r="I24" s="372" t="s">
        <v>722</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417</v>
      </c>
      <c r="E26" s="312"/>
      <c r="F26" s="311"/>
      <c r="G26" s="311" t="s">
        <v>399</v>
      </c>
      <c r="H26" s="326"/>
      <c r="I26" s="2282" t="s">
        <v>1227</v>
      </c>
      <c r="M26" s="196">
        <v>14</v>
      </c>
    </row>
    <row customHeight="1" ht="15.75">
      <c r="A27" s="1796" t="s">
        <v>136</v>
      </c>
      <c r="C27" s="209"/>
      <c r="D27" s="222"/>
      <c r="E27" s="316" t="s">
        <v>415</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73"/>
      <c r="G28" s="2573"/>
      <c r="H28" s="2573"/>
      <c r="I28" s="369"/>
      <c r="M28" s="196">
        <v>38</v>
      </c>
    </row>
    <row customHeight="1" ht="21">
      <c r="A29" s="1796"/>
      <c r="C29" s="209"/>
      <c r="D29" s="260" t="s">
        <v>844</v>
      </c>
      <c r="E29" s="318" t="s">
        <v>1217</v>
      </c>
      <c r="F29" s="311"/>
      <c r="G29" s="370"/>
      <c r="H29" s="311" t="s">
        <v>399</v>
      </c>
      <c r="I29" s="2282" t="s">
        <v>1228</v>
      </c>
      <c r="M29" s="196">
        <v>20</v>
      </c>
    </row>
    <row customHeight="1" ht="15.75">
      <c r="A30" s="1796" t="s">
        <v>103</v>
      </c>
      <c r="C30" s="209"/>
      <c r="D30" s="222"/>
      <c r="E30" s="316" t="s">
        <v>415</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73"/>
      <c r="G31" s="2573"/>
      <c r="H31" s="2573"/>
      <c r="I31" s="369"/>
      <c r="M31" s="196">
        <v>30</v>
      </c>
    </row>
    <row customHeight="1" ht="27.299999999999997">
      <c r="A32" s="1796"/>
      <c r="C32" s="209"/>
      <c r="D32" s="260" t="s">
        <v>406</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16"/>
      <c r="G32" s="2516"/>
      <c r="H32" s="2516"/>
      <c r="I32" s="369"/>
      <c r="M32" s="196">
        <v>26</v>
      </c>
    </row>
    <row customHeight="1" ht="14.699999999999998">
      <c r="A33" s="1796"/>
      <c r="C33" s="209"/>
      <c r="D33" s="260" t="s">
        <v>1229</v>
      </c>
      <c r="E33" s="319" t="s">
        <v>1218</v>
      </c>
      <c r="F33" s="311"/>
      <c r="G33" s="370"/>
      <c r="H33" s="311" t="s">
        <v>399</v>
      </c>
      <c r="I33" s="2282" t="s">
        <v>1230</v>
      </c>
      <c r="M33" s="196">
        <v>14</v>
      </c>
    </row>
    <row customHeight="1" ht="15.75">
      <c r="A34" s="1796" t="s">
        <v>90</v>
      </c>
      <c r="C34" s="209"/>
      <c r="D34" s="222"/>
      <c r="E34" s="317" t="s">
        <v>415</v>
      </c>
      <c r="F34" s="313"/>
      <c r="G34" s="313"/>
      <c r="H34" s="314"/>
      <c r="I34" s="2284"/>
      <c r="M34" s="196">
        <v>15</v>
      </c>
    </row>
    <row customHeight="1" ht="25.2">
      <c r="A35" s="1796"/>
      <c r="C35" s="209"/>
      <c r="D35" s="260" t="s">
        <v>972</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16"/>
      <c r="G35" s="2516"/>
      <c r="H35" s="2516"/>
      <c r="I35" s="369"/>
      <c r="M35" s="196">
        <v>24</v>
      </c>
    </row>
    <row customHeight="1" ht="14.699999999999998">
      <c r="A36" s="1796"/>
      <c r="C36" s="209"/>
      <c r="D36" s="260" t="s">
        <v>1231</v>
      </c>
      <c r="E36" s="319" t="s">
        <v>1219</v>
      </c>
      <c r="F36" s="311"/>
      <c r="G36" s="370"/>
      <c r="H36" s="311" t="s">
        <v>399</v>
      </c>
      <c r="I36" s="2256" t="s">
        <v>1232</v>
      </c>
      <c r="M36" s="196">
        <v>14</v>
      </c>
    </row>
    <row customHeight="1" ht="15.75">
      <c r="A37" s="1796" t="s">
        <v>91</v>
      </c>
      <c r="C37" s="209"/>
      <c r="D37" s="222"/>
      <c r="E37" s="317" t="s">
        <v>415</v>
      </c>
      <c r="F37" s="313"/>
      <c r="G37" s="313"/>
      <c r="H37" s="314"/>
      <c r="I37" s="2256"/>
      <c r="M37" s="196">
        <v>15</v>
      </c>
    </row>
    <row customHeight="1" ht="27.299999999999997">
      <c r="A38" s="1796"/>
      <c r="C38" s="209"/>
      <c r="D38" s="260" t="s">
        <v>973</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16"/>
      <c r="G38" s="2516"/>
      <c r="H38" s="2516"/>
      <c r="I38" s="369"/>
      <c r="M38" s="196">
        <v>26</v>
      </c>
    </row>
    <row customHeight="1" ht="14.699999999999998">
      <c r="A39" s="1796"/>
      <c r="C39" s="209"/>
      <c r="D39" s="260" t="s">
        <v>974</v>
      </c>
      <c r="E39" s="319" t="s">
        <v>1220</v>
      </c>
      <c r="F39" s="311"/>
      <c r="G39" s="320"/>
      <c r="H39" s="311" t="s">
        <v>399</v>
      </c>
      <c r="I39" s="2282" t="s">
        <v>1233</v>
      </c>
      <c r="L39" s="268" t="s">
        <v>1221</v>
      </c>
      <c r="M39" s="196">
        <v>14</v>
      </c>
    </row>
    <row customHeight="1" ht="15.75">
      <c r="A40" s="1796" t="s">
        <v>116</v>
      </c>
      <c r="C40" s="209"/>
      <c r="D40" s="222"/>
      <c r="E40" s="317" t="s">
        <v>415</v>
      </c>
      <c r="F40" s="313"/>
      <c r="G40" s="313"/>
      <c r="H40" s="314"/>
      <c r="I40" s="2284"/>
      <c r="M40" s="196">
        <v>15</v>
      </c>
    </row>
    <row s="9640" customFormat="1" customHeight="1" ht="3">
      <c r="A41" s="1796"/>
      <c r="K41" s="309"/>
      <c r="L41" s="309"/>
      <c r="M41" s="253">
        <v>3</v>
      </c>
    </row>
    <row customHeight="1" ht="26.25">
      <c r="D42" s="1794" t="s">
        <v>894</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A2AB1-4543-B378-E54E-A5C3B8398EDD}" mc:Ignorable="x14ac xr xr2 xr3">
  <sheetPr>
    <tabColor theme="6" tint="0.4"/>
  </sheetPr>
  <dimension ref="A1:AH338"/>
  <sheetViews>
    <sheetView topLeftCell="A1" showGridLines="0" zoomScale="90" workbookViewId="0">
      <selection activeCell="F337" sqref="F337:M337"/>
    </sheetView>
  </sheetViews>
  <sheetFormatPr defaultColWidth="10.57421875" customHeight="1" defaultRowHeight="14.25"/>
  <cols>
    <col min="1" max="2" style="9688" width="25.140625" hidden="1" customWidth="1"/>
    <col min="3" max="3" style="9689" width="9.140625" hidden="1" customWidth="1"/>
    <col min="4" max="4" style="6319" width="3.00390625" customWidth="1"/>
    <col min="5" max="5" style="5387" width="6.00390625" customWidth="1"/>
    <col min="6" max="6" style="5387" width="46.7109375" customWidth="1"/>
    <col min="7" max="7" style="5387" width="35.00390625" customWidth="1"/>
    <col min="8" max="8" style="5387" width="3.00390625" customWidth="1"/>
    <col min="9" max="10" style="5387" width="11.00390625" customWidth="1"/>
    <col min="11" max="12" style="5387" width="35.00390625" customWidth="1"/>
    <col min="13" max="13" style="5387" width="84.00390625" customWidth="1"/>
    <col min="14" max="14" style="5387" width="10.00390625" customWidth="1"/>
    <col min="15" max="16" style="5567" width="10.00390625" customWidth="1"/>
    <col min="17" max="33" style="5387" width="10.00390625" customWidth="1"/>
    <col min="34" max="34" style="5387" width="10.57421875" hidden="1"/>
  </cols>
  <sheetData>
    <row s="5387"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7" customFormat="1" customHeight="1" ht="18.75" hidden="1">
      <c r="A2" s="1893" t="s">
        <v>186</v>
      </c>
      <c r="B2" s="1893" t="s">
        <v>187</v>
      </c>
      <c r="C2" s="482"/>
      <c r="D2" s="457"/>
      <c r="E2" s="1144"/>
      <c r="F2" s="1144"/>
      <c r="G2" s="2540" t="str">
        <f>INDEX(PT_DIFFERENTIATION_NTAR,MATCH(B2,PT_DIFFERENTIATION_NTAR_ID,0))</f>
        <v/>
      </c>
      <c r="H2" s="1977"/>
      <c r="I2" s="1852"/>
      <c r="J2" s="1886"/>
      <c r="K2" s="1978"/>
      <c r="L2" s="1977" t="s">
        <v>399</v>
      </c>
      <c r="M2" s="1988"/>
      <c r="N2" s="447"/>
      <c r="O2" s="1737"/>
      <c r="P2" s="1737"/>
      <c r="AH2" s="1744">
        <v>0</v>
      </c>
    </row>
    <row s="5387" customFormat="1" customHeight="1" ht="18.75" hidden="1">
      <c r="A3" s="1893"/>
      <c r="B3" s="1893"/>
      <c r="C3" s="482" t="s">
        <v>1234</v>
      </c>
      <c r="D3" s="457"/>
      <c r="E3" s="1144"/>
      <c r="F3" s="1144"/>
      <c r="G3" s="2540"/>
      <c r="H3" s="1613"/>
      <c r="I3" s="764" t="s">
        <v>1235</v>
      </c>
      <c r="J3" s="684"/>
      <c r="K3" s="1613"/>
      <c r="L3" s="327"/>
      <c r="M3" s="1988"/>
      <c r="N3" s="447"/>
      <c r="O3" s="1737"/>
      <c r="P3" s="1737"/>
      <c r="AH3" s="1744">
        <v>0</v>
      </c>
    </row>
    <row s="5387"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7" customFormat="1" customHeight="1" ht="18.75" hidden="1">
      <c r="A5" s="1893" t="s">
        <v>186</v>
      </c>
      <c r="B5" s="1893" t="s">
        <v>187</v>
      </c>
      <c r="C5" s="482"/>
      <c r="D5" s="457"/>
      <c r="E5" s="1144"/>
      <c r="F5" s="1144"/>
      <c r="G5" s="2540" t="str">
        <f>INDEX(PT_DIFFERENTIATION_NTAR,MATCH(B5,PT_DIFFERENTIATION_NTAR_ID,0))</f>
        <v/>
      </c>
      <c r="H5" s="1977"/>
      <c r="I5" s="1852"/>
      <c r="J5" s="1886"/>
      <c r="K5" s="1891"/>
      <c r="L5" s="1977" t="s">
        <v>399</v>
      </c>
      <c r="M5" s="1988"/>
      <c r="N5" s="447"/>
      <c r="O5" s="1737"/>
      <c r="P5" s="1737"/>
      <c r="AH5" s="1744">
        <v>0</v>
      </c>
    </row>
    <row s="5387" customFormat="1" customHeight="1" ht="18.75" hidden="1">
      <c r="A6" s="1893"/>
      <c r="B6" s="1893"/>
      <c r="C6" s="482" t="s">
        <v>1236</v>
      </c>
      <c r="D6" s="457"/>
      <c r="E6" s="1144"/>
      <c r="F6" s="1144"/>
      <c r="G6" s="2540"/>
      <c r="H6" s="1613"/>
      <c r="I6" s="764" t="s">
        <v>1235</v>
      </c>
      <c r="J6" s="684"/>
      <c r="K6" s="1613"/>
      <c r="L6" s="327"/>
      <c r="M6" s="1988"/>
      <c r="N6" s="447"/>
      <c r="O6" s="1737"/>
      <c r="P6" s="1737"/>
      <c r="AH6" s="1744">
        <v>0</v>
      </c>
    </row>
    <row s="5387"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7" customFormat="1" customHeight="1" ht="56.25" hidden="1">
      <c r="A8" s="1893"/>
      <c r="B8" s="1893"/>
      <c r="C8" s="482"/>
      <c r="D8" s="457"/>
      <c r="E8" s="1144"/>
      <c r="F8" s="1144"/>
      <c r="G8" s="1144"/>
      <c r="H8" s="1884"/>
      <c r="I8" s="1852"/>
      <c r="J8" s="1886"/>
      <c r="K8" s="1978"/>
      <c r="L8" s="1884" t="s">
        <v>399</v>
      </c>
      <c r="M8" s="1988"/>
      <c r="N8" s="447"/>
      <c r="O8" s="1737"/>
      <c r="P8" s="1737"/>
      <c r="AH8" s="1744">
        <v>0</v>
      </c>
    </row>
    <row customHeight="1" ht="14.25" hidden="1">
      <c r="T9" s="510"/>
      <c r="AG9" s="368"/>
      <c r="AH9" s="487">
        <v>0</v>
      </c>
    </row>
    <row s="5387" customFormat="1" customHeight="1" ht="56.25" hidden="1">
      <c r="A10" s="1893"/>
      <c r="B10" s="1893"/>
      <c r="C10" s="482"/>
      <c r="D10" s="457"/>
      <c r="E10" s="1144"/>
      <c r="F10" s="1144"/>
      <c r="G10" s="1144"/>
      <c r="H10" s="1883"/>
      <c r="I10" s="1852"/>
      <c r="J10" s="1886"/>
      <c r="K10" s="1891"/>
      <c r="L10" s="1884" t="s">
        <v>399</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изменении тарифов</v>
      </c>
      <c r="G16" s="2377" t="str">
        <f>IF(TITLE_DATE_PR_CHANGE="",IF(TITLE_DATE_PR="","",TITLE_DATE_PR),TITLE_DATE_PR_CHANGE)</f>
        <v>45408.605891203704</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изменении тарифов</v>
      </c>
      <c r="G17" s="2364" t="str">
        <f>IF(TITLE_NUMBER_PR_CHANGE="",IF(TITLE_NUMBER_PR="","",TITLE_NUMBER_PR),TITLE_NUMBER_PR_CHANGE)</f>
        <v>27-2139</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393</v>
      </c>
      <c r="F19" s="2322"/>
      <c r="G19" s="2322"/>
      <c r="H19" s="2322"/>
      <c r="I19" s="2322"/>
      <c r="J19" s="2322"/>
      <c r="K19" s="2322"/>
      <c r="L19" s="2322"/>
      <c r="M19" s="2502" t="s">
        <v>394</v>
      </c>
      <c r="AH19" s="487">
        <v>21</v>
      </c>
    </row>
    <row customHeight="1" ht="22.049999999999997">
      <c r="D20" s="489"/>
      <c r="E20" s="2390" t="s">
        <v>88</v>
      </c>
      <c r="F20" s="2337" t="s">
        <v>154</v>
      </c>
      <c r="G20" s="2337" t="s">
        <v>155</v>
      </c>
      <c r="H20" s="2499" t="s">
        <v>1237</v>
      </c>
      <c r="I20" s="2500"/>
      <c r="J20" s="2546"/>
      <c r="K20" s="2337" t="s">
        <v>396</v>
      </c>
      <c r="L20" s="2337" t="s">
        <v>483</v>
      </c>
      <c r="M20" s="2502"/>
      <c r="AH20" s="487">
        <v>21</v>
      </c>
    </row>
    <row customHeight="1" ht="22.049999999999997">
      <c r="D21" s="489"/>
      <c r="E21" s="2392"/>
      <c r="F21" s="2338"/>
      <c r="G21" s="2338"/>
      <c r="H21" s="2331" t="s">
        <v>1238</v>
      </c>
      <c r="I21" s="2333"/>
      <c r="J21" s="221" t="s">
        <v>1239</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136</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399</v>
      </c>
      <c r="L23" s="2574"/>
      <c r="M23" s="1882"/>
      <c r="N23" s="447"/>
      <c r="AH23" s="487">
        <v>19</v>
      </c>
    </row>
    <row customHeight="1" ht="60.75" hidden="1">
      <c r="A24" s="1893" t="s">
        <v>186</v>
      </c>
      <c r="B24" s="1893" t="s">
        <v>187</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399</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7" customFormat="1" customHeight="1" ht="18.75" hidden="1">
      <c r="A25" s="1893"/>
      <c r="B25" s="1893"/>
      <c r="C25" s="482" t="s">
        <v>1234</v>
      </c>
      <c r="D25" s="2579"/>
      <c r="E25" s="2317"/>
      <c r="F25" s="2583"/>
      <c r="G25" s="2540"/>
      <c r="H25" s="1613"/>
      <c r="I25" s="764" t="s">
        <v>1235</v>
      </c>
      <c r="J25" s="684"/>
      <c r="K25" s="1613"/>
      <c r="L25" s="327"/>
      <c r="M25" s="2283"/>
      <c r="N25" s="447"/>
      <c r="O25" s="1737"/>
      <c r="P25" s="1737"/>
      <c r="AH25" s="1744">
        <v>0</v>
      </c>
    </row>
    <row customHeight="1" ht="0.75" hidden="1">
      <c r="A26" s="1893"/>
      <c r="B26" s="1893"/>
      <c r="C26" s="482" t="s">
        <v>1240</v>
      </c>
      <c r="D26" s="2579"/>
      <c r="E26" s="2317"/>
      <c r="F26" s="2496"/>
      <c r="G26" s="513"/>
      <c r="H26" s="1613"/>
      <c r="I26" s="508"/>
      <c r="J26" s="462"/>
      <c r="K26" s="1613"/>
      <c r="L26" s="314"/>
      <c r="M26" s="2283"/>
      <c r="N26" s="447"/>
      <c r="AH26" s="487">
        <v>0</v>
      </c>
    </row>
    <row s="5387" customFormat="1" customHeight="1" ht="45" hidden="1">
      <c r="A27" s="1893" t="s">
        <v>191</v>
      </c>
      <c r="B27" s="1893" t="s">
        <v>192</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399</v>
      </c>
      <c r="M27" s="2283"/>
      <c r="N27" s="447"/>
      <c r="O27" s="1737"/>
      <c r="P27" s="1737"/>
      <c r="AH27" s="1744">
        <v>0</v>
      </c>
    </row>
    <row s="5387" customFormat="1" customHeight="1" ht="18.75" hidden="1">
      <c r="A28" s="1893"/>
      <c r="B28" s="1893"/>
      <c r="C28" s="482" t="s">
        <v>1234</v>
      </c>
      <c r="D28" s="2575"/>
      <c r="E28" s="2576"/>
      <c r="F28" s="2577"/>
      <c r="G28" s="2540"/>
      <c r="H28" s="1613"/>
      <c r="I28" s="764" t="s">
        <v>1235</v>
      </c>
      <c r="J28" s="684"/>
      <c r="K28" s="1613"/>
      <c r="L28" s="327"/>
      <c r="M28" s="2283"/>
      <c r="N28" s="447"/>
      <c r="O28" s="1737"/>
      <c r="P28" s="1737"/>
      <c r="AH28" s="1744">
        <v>0</v>
      </c>
    </row>
    <row s="5387" customFormat="1" customHeight="1" ht="0.75" hidden="1">
      <c r="A29" s="1893"/>
      <c r="B29" s="1893"/>
      <c r="C29" s="482" t="s">
        <v>1240</v>
      </c>
      <c r="D29" s="2575"/>
      <c r="E29" s="2317"/>
      <c r="F29" s="2496"/>
      <c r="G29" s="513"/>
      <c r="H29" s="1613"/>
      <c r="I29" s="764"/>
      <c r="J29" s="684"/>
      <c r="K29" s="1613"/>
      <c r="L29" s="327"/>
      <c r="M29" s="2283"/>
      <c r="N29" s="447"/>
      <c r="O29" s="1737"/>
      <c r="P29" s="1737"/>
      <c r="AH29" s="1744">
        <v>0</v>
      </c>
    </row>
    <row s="5387" customFormat="1" customHeight="1" ht="45" hidden="1">
      <c r="A30" s="1893" t="s">
        <v>198</v>
      </c>
      <c r="B30" s="1893" t="s">
        <v>199</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399</v>
      </c>
      <c r="M30" s="2283"/>
      <c r="N30" s="447"/>
      <c r="O30" s="1737"/>
      <c r="P30" s="1737"/>
      <c r="AH30" s="1744">
        <v>0</v>
      </c>
    </row>
    <row s="5387" customFormat="1" customHeight="1" ht="18.75" hidden="1">
      <c r="A31" s="1893"/>
      <c r="B31" s="1893"/>
      <c r="C31" s="482" t="s">
        <v>1234</v>
      </c>
      <c r="D31" s="2575"/>
      <c r="E31" s="2317"/>
      <c r="F31" s="2496"/>
      <c r="G31" s="2540"/>
      <c r="H31" s="1613"/>
      <c r="I31" s="764" t="s">
        <v>1235</v>
      </c>
      <c r="J31" s="684"/>
      <c r="K31" s="1613"/>
      <c r="L31" s="327"/>
      <c r="M31" s="2283"/>
      <c r="N31" s="447"/>
      <c r="O31" s="1737"/>
      <c r="P31" s="1737"/>
      <c r="AH31" s="1744">
        <v>0</v>
      </c>
    </row>
    <row s="5387" customFormat="1" customHeight="1" ht="0.75" hidden="1">
      <c r="A32" s="1893"/>
      <c r="B32" s="1893"/>
      <c r="C32" s="482" t="s">
        <v>1240</v>
      </c>
      <c r="D32" s="2575"/>
      <c r="E32" s="2317"/>
      <c r="F32" s="2496"/>
      <c r="G32" s="513"/>
      <c r="H32" s="1613"/>
      <c r="I32" s="764"/>
      <c r="J32" s="684"/>
      <c r="K32" s="1613"/>
      <c r="L32" s="327"/>
      <c r="M32" s="2283"/>
      <c r="N32" s="447"/>
      <c r="O32" s="1737"/>
      <c r="P32" s="1737"/>
      <c r="AH32" s="1744">
        <v>0</v>
      </c>
    </row>
    <row s="5387" customFormat="1" customHeight="1" ht="45" hidden="1">
      <c r="A33" s="1893" t="s">
        <v>204</v>
      </c>
      <c r="B33" s="1893" t="s">
        <v>205</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399</v>
      </c>
      <c r="M33" s="2283"/>
      <c r="N33" s="447"/>
      <c r="O33" s="1737"/>
      <c r="P33" s="1737"/>
      <c r="AH33" s="1744">
        <v>0</v>
      </c>
    </row>
    <row s="5387" customFormat="1" customHeight="1" ht="18.75" hidden="1">
      <c r="A34" s="1893"/>
      <c r="B34" s="1893"/>
      <c r="C34" s="482" t="s">
        <v>1234</v>
      </c>
      <c r="D34" s="2575"/>
      <c r="E34" s="2317"/>
      <c r="F34" s="2496"/>
      <c r="G34" s="2540"/>
      <c r="H34" s="1613"/>
      <c r="I34" s="764" t="s">
        <v>1235</v>
      </c>
      <c r="J34" s="684"/>
      <c r="K34" s="1613"/>
      <c r="L34" s="327"/>
      <c r="M34" s="2283"/>
      <c r="N34" s="447"/>
      <c r="O34" s="1737"/>
      <c r="P34" s="1737"/>
      <c r="AH34" s="1744">
        <v>0</v>
      </c>
    </row>
    <row s="5387" customFormat="1" customHeight="1" ht="0.75" hidden="1">
      <c r="A35" s="1893"/>
      <c r="B35" s="1893"/>
      <c r="C35" s="482" t="s">
        <v>1240</v>
      </c>
      <c r="D35" s="2575"/>
      <c r="E35" s="2317"/>
      <c r="F35" s="2496"/>
      <c r="G35" s="513"/>
      <c r="H35" s="1613"/>
      <c r="I35" s="764"/>
      <c r="J35" s="684"/>
      <c r="K35" s="1613"/>
      <c r="L35" s="327"/>
      <c r="M35" s="2283"/>
      <c r="N35" s="447"/>
      <c r="O35" s="1737"/>
      <c r="P35" s="1737"/>
      <c r="AH35" s="1744">
        <v>0</v>
      </c>
    </row>
    <row s="5387" customFormat="1" customHeight="1" ht="18.75" hidden="1">
      <c r="A36" s="1893" t="s">
        <v>210</v>
      </c>
      <c r="B36" s="1893" t="s">
        <v>211</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399</v>
      </c>
      <c r="M36" s="2283"/>
      <c r="N36" s="447"/>
      <c r="O36" s="1737"/>
      <c r="P36" s="1737"/>
      <c r="AH36" s="1744">
        <v>0</v>
      </c>
    </row>
    <row s="5387" customFormat="1" customHeight="1" ht="18.75" hidden="1">
      <c r="A37" s="1893"/>
      <c r="B37" s="1893"/>
      <c r="C37" s="482" t="s">
        <v>1234</v>
      </c>
      <c r="D37" s="2575"/>
      <c r="E37" s="2317"/>
      <c r="F37" s="2496"/>
      <c r="G37" s="2540"/>
      <c r="H37" s="1613"/>
      <c r="I37" s="764" t="s">
        <v>1235</v>
      </c>
      <c r="J37" s="684"/>
      <c r="K37" s="1613"/>
      <c r="L37" s="327"/>
      <c r="M37" s="2283"/>
      <c r="N37" s="447"/>
      <c r="O37" s="1737"/>
      <c r="P37" s="1737"/>
      <c r="AH37" s="1744">
        <v>0</v>
      </c>
    </row>
    <row s="5387" customFormat="1" customHeight="1" ht="0.75" hidden="1">
      <c r="A38" s="1893"/>
      <c r="B38" s="1893"/>
      <c r="C38" s="482" t="s">
        <v>1240</v>
      </c>
      <c r="D38" s="2575"/>
      <c r="E38" s="2317"/>
      <c r="F38" s="2496"/>
      <c r="G38" s="513"/>
      <c r="H38" s="1613"/>
      <c r="I38" s="764"/>
      <c r="J38" s="684"/>
      <c r="K38" s="1613"/>
      <c r="L38" s="327"/>
      <c r="M38" s="2283"/>
      <c r="N38" s="447"/>
      <c r="O38" s="1737"/>
      <c r="P38" s="1737"/>
      <c r="AH38" s="1744">
        <v>0</v>
      </c>
    </row>
    <row s="5387" customFormat="1" customHeight="1" ht="18.75" hidden="1">
      <c r="A39" s="1893" t="s">
        <v>216</v>
      </c>
      <c r="B39" s="1893" t="s">
        <v>217</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399</v>
      </c>
      <c r="M39" s="2283"/>
      <c r="N39" s="447"/>
      <c r="O39" s="1737"/>
      <c r="P39" s="1737"/>
      <c r="AH39" s="1744">
        <v>0</v>
      </c>
    </row>
    <row s="5387" customFormat="1" customHeight="1" ht="18.75" hidden="1">
      <c r="A40" s="1893"/>
      <c r="B40" s="1893"/>
      <c r="C40" s="482" t="s">
        <v>1234</v>
      </c>
      <c r="D40" s="2575"/>
      <c r="E40" s="2317"/>
      <c r="F40" s="2496"/>
      <c r="G40" s="2540"/>
      <c r="H40" s="1613"/>
      <c r="I40" s="764" t="s">
        <v>1235</v>
      </c>
      <c r="J40" s="684"/>
      <c r="K40" s="1613"/>
      <c r="L40" s="327"/>
      <c r="M40" s="2283"/>
      <c r="N40" s="447"/>
      <c r="O40" s="1737"/>
      <c r="P40" s="1737"/>
      <c r="AH40" s="1744">
        <v>0</v>
      </c>
    </row>
    <row s="5387" customFormat="1" customHeight="1" ht="0.75" hidden="1">
      <c r="A41" s="1893"/>
      <c r="B41" s="1893"/>
      <c r="C41" s="482" t="s">
        <v>1240</v>
      </c>
      <c r="D41" s="2575"/>
      <c r="E41" s="2317"/>
      <c r="F41" s="2496"/>
      <c r="G41" s="513"/>
      <c r="H41" s="1613"/>
      <c r="I41" s="764"/>
      <c r="J41" s="684"/>
      <c r="K41" s="1613"/>
      <c r="L41" s="327"/>
      <c r="M41" s="2283"/>
      <c r="N41" s="447"/>
      <c r="O41" s="1737"/>
      <c r="P41" s="1737"/>
      <c r="AH41" s="1744">
        <v>0</v>
      </c>
    </row>
    <row s="5387" customFormat="1" customHeight="1" ht="18.75" hidden="1">
      <c r="A42" s="1893" t="s">
        <v>222</v>
      </c>
      <c r="B42" s="1893" t="s">
        <v>223</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399</v>
      </c>
      <c r="M42" s="2283"/>
      <c r="N42" s="447"/>
      <c r="O42" s="1737"/>
      <c r="P42" s="1737"/>
      <c r="AH42" s="1744">
        <v>0</v>
      </c>
    </row>
    <row s="5387" customFormat="1" customHeight="1" ht="18.75" hidden="1">
      <c r="A43" s="1893"/>
      <c r="B43" s="1893"/>
      <c r="C43" s="482" t="s">
        <v>1234</v>
      </c>
      <c r="D43" s="2575"/>
      <c r="E43" s="2317"/>
      <c r="F43" s="2496"/>
      <c r="G43" s="2540"/>
      <c r="H43" s="1613"/>
      <c r="I43" s="764" t="s">
        <v>1235</v>
      </c>
      <c r="J43" s="684"/>
      <c r="K43" s="1613"/>
      <c r="L43" s="327"/>
      <c r="M43" s="2283"/>
      <c r="N43" s="447"/>
      <c r="O43" s="1737"/>
      <c r="P43" s="1737"/>
      <c r="AH43" s="1744">
        <v>0</v>
      </c>
    </row>
    <row s="5387" customFormat="1" customHeight="1" ht="0.75" hidden="1">
      <c r="A44" s="1893"/>
      <c r="B44" s="1893"/>
      <c r="C44" s="482" t="s">
        <v>1240</v>
      </c>
      <c r="D44" s="2575"/>
      <c r="E44" s="2317"/>
      <c r="F44" s="2496"/>
      <c r="G44" s="513"/>
      <c r="H44" s="1613"/>
      <c r="I44" s="764"/>
      <c r="J44" s="684"/>
      <c r="K44" s="1613"/>
      <c r="L44" s="327"/>
      <c r="M44" s="2283"/>
      <c r="N44" s="447"/>
      <c r="O44" s="1737"/>
      <c r="P44" s="1737"/>
      <c r="AH44" s="1744">
        <v>0</v>
      </c>
    </row>
    <row s="5387" customFormat="1" customHeight="1" ht="18.75" hidden="1">
      <c r="A45" s="1893" t="s">
        <v>228</v>
      </c>
      <c r="B45" s="1893" t="s">
        <v>229</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399</v>
      </c>
      <c r="M45" s="2283"/>
      <c r="N45" s="447"/>
      <c r="O45" s="1737"/>
      <c r="P45" s="1737"/>
      <c r="AH45" s="1744">
        <v>0</v>
      </c>
    </row>
    <row s="5387" customFormat="1" customHeight="1" ht="18.75" hidden="1">
      <c r="A46" s="1893"/>
      <c r="B46" s="1893"/>
      <c r="C46" s="482" t="s">
        <v>1234</v>
      </c>
      <c r="D46" s="2575"/>
      <c r="E46" s="2317"/>
      <c r="F46" s="2496"/>
      <c r="G46" s="2540"/>
      <c r="H46" s="1613"/>
      <c r="I46" s="764" t="s">
        <v>1235</v>
      </c>
      <c r="J46" s="684"/>
      <c r="K46" s="1613"/>
      <c r="L46" s="327"/>
      <c r="M46" s="2283"/>
      <c r="N46" s="447"/>
      <c r="O46" s="1737"/>
      <c r="P46" s="1737"/>
      <c r="AH46" s="1744">
        <v>0</v>
      </c>
    </row>
    <row s="5387" customFormat="1" customHeight="1" ht="0.75" hidden="1">
      <c r="A47" s="1893"/>
      <c r="B47" s="1893"/>
      <c r="C47" s="482" t="s">
        <v>1240</v>
      </c>
      <c r="D47" s="2575"/>
      <c r="E47" s="2317"/>
      <c r="F47" s="2496"/>
      <c r="G47" s="513"/>
      <c r="H47" s="1613"/>
      <c r="I47" s="764"/>
      <c r="J47" s="684"/>
      <c r="K47" s="1613"/>
      <c r="L47" s="327"/>
      <c r="M47" s="2283"/>
      <c r="N47" s="447"/>
      <c r="O47" s="1737"/>
      <c r="P47" s="1737"/>
      <c r="AH47" s="1744">
        <v>0</v>
      </c>
    </row>
    <row s="5387" customFormat="1" customHeight="1" ht="18.75" hidden="1">
      <c r="A48" s="1893" t="s">
        <v>234</v>
      </c>
      <c r="B48" s="1893" t="s">
        <v>235</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399</v>
      </c>
      <c r="M48" s="2283"/>
      <c r="N48" s="447"/>
      <c r="O48" s="1737"/>
      <c r="P48" s="1737"/>
      <c r="AH48" s="1744">
        <v>0</v>
      </c>
    </row>
    <row s="5387" customFormat="1" customHeight="1" ht="18.75" hidden="1">
      <c r="A49" s="1893"/>
      <c r="B49" s="1893"/>
      <c r="C49" s="482" t="s">
        <v>1234</v>
      </c>
      <c r="D49" s="2575"/>
      <c r="E49" s="2317"/>
      <c r="F49" s="2496"/>
      <c r="G49" s="2540"/>
      <c r="H49" s="1613"/>
      <c r="I49" s="764" t="s">
        <v>1235</v>
      </c>
      <c r="J49" s="684"/>
      <c r="K49" s="1613"/>
      <c r="L49" s="327"/>
      <c r="M49" s="2283"/>
      <c r="N49" s="447"/>
      <c r="O49" s="1737"/>
      <c r="P49" s="1737"/>
      <c r="AH49" s="1744">
        <v>0</v>
      </c>
    </row>
    <row s="5387" customFormat="1" customHeight="1" ht="0.75" hidden="1">
      <c r="A50" s="1893"/>
      <c r="B50" s="1893"/>
      <c r="C50" s="482" t="s">
        <v>1240</v>
      </c>
      <c r="D50" s="2575"/>
      <c r="E50" s="2317"/>
      <c r="F50" s="2496"/>
      <c r="G50" s="513"/>
      <c r="H50" s="1613"/>
      <c r="I50" s="764"/>
      <c r="J50" s="684"/>
      <c r="K50" s="1613"/>
      <c r="L50" s="327"/>
      <c r="M50" s="2283"/>
      <c r="N50" s="447"/>
      <c r="O50" s="1737"/>
      <c r="P50" s="1737"/>
      <c r="AH50" s="1744">
        <v>0</v>
      </c>
    </row>
    <row s="5387" customFormat="1" customHeight="1" ht="18.75" hidden="1">
      <c r="A51" s="1893" t="s">
        <v>254</v>
      </c>
      <c r="B51" s="1893" t="s">
        <v>255</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399</v>
      </c>
      <c r="M51" s="2283"/>
      <c r="N51" s="447"/>
      <c r="O51" s="1737"/>
      <c r="P51" s="1737"/>
      <c r="AH51" s="1744">
        <v>0</v>
      </c>
    </row>
    <row s="5387" customFormat="1" customHeight="1" ht="18.75" hidden="1">
      <c r="A52" s="1893"/>
      <c r="B52" s="1893"/>
      <c r="C52" s="482" t="s">
        <v>1234</v>
      </c>
      <c r="D52" s="2575"/>
      <c r="E52" s="2317"/>
      <c r="F52" s="2496"/>
      <c r="G52" s="2540"/>
      <c r="H52" s="1613"/>
      <c r="I52" s="764" t="s">
        <v>1235</v>
      </c>
      <c r="J52" s="684"/>
      <c r="K52" s="1613"/>
      <c r="L52" s="327"/>
      <c r="M52" s="2283"/>
      <c r="N52" s="447"/>
      <c r="O52" s="1737"/>
      <c r="P52" s="1737"/>
      <c r="AH52" s="1744">
        <v>0</v>
      </c>
    </row>
    <row s="5387" customFormat="1" customHeight="1" ht="0.75" hidden="1">
      <c r="A53" s="1893"/>
      <c r="B53" s="1893"/>
      <c r="C53" s="482" t="s">
        <v>1240</v>
      </c>
      <c r="D53" s="2575"/>
      <c r="E53" s="2317"/>
      <c r="F53" s="2496"/>
      <c r="G53" s="513"/>
      <c r="H53" s="1613"/>
      <c r="I53" s="764"/>
      <c r="J53" s="684"/>
      <c r="K53" s="1613"/>
      <c r="L53" s="327"/>
      <c r="M53" s="2283"/>
      <c r="N53" s="447"/>
      <c r="O53" s="1737"/>
      <c r="P53" s="1737"/>
      <c r="AH53" s="1744">
        <v>0</v>
      </c>
    </row>
    <row s="5387" customFormat="1" customHeight="1" ht="18.75" hidden="1">
      <c r="A54" s="1893" t="s">
        <v>259</v>
      </c>
      <c r="B54" s="1893" t="s">
        <v>260</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399</v>
      </c>
      <c r="M54" s="2283"/>
      <c r="N54" s="447"/>
      <c r="O54" s="1737"/>
      <c r="P54" s="1737"/>
      <c r="AH54" s="1744">
        <v>0</v>
      </c>
    </row>
    <row s="5387" customFormat="1" customHeight="1" ht="18.75" hidden="1">
      <c r="A55" s="1893"/>
      <c r="B55" s="1893"/>
      <c r="C55" s="482" t="s">
        <v>1234</v>
      </c>
      <c r="D55" s="2575"/>
      <c r="E55" s="2317"/>
      <c r="F55" s="2496"/>
      <c r="G55" s="2540"/>
      <c r="H55" s="1613"/>
      <c r="I55" s="764" t="s">
        <v>1235</v>
      </c>
      <c r="J55" s="684"/>
      <c r="K55" s="1613"/>
      <c r="L55" s="327"/>
      <c r="M55" s="2283"/>
      <c r="N55" s="447"/>
      <c r="O55" s="1737"/>
      <c r="P55" s="1737"/>
      <c r="AH55" s="1744">
        <v>0</v>
      </c>
    </row>
    <row s="5387" customFormat="1" customHeight="1" ht="0.75" hidden="1">
      <c r="A56" s="1893"/>
      <c r="B56" s="1893"/>
      <c r="C56" s="482" t="s">
        <v>1240</v>
      </c>
      <c r="D56" s="2575"/>
      <c r="E56" s="2317"/>
      <c r="F56" s="2496"/>
      <c r="G56" s="513"/>
      <c r="H56" s="1613"/>
      <c r="I56" s="764"/>
      <c r="J56" s="684"/>
      <c r="K56" s="1613"/>
      <c r="L56" s="327"/>
      <c r="M56" s="2283"/>
      <c r="N56" s="447"/>
      <c r="O56" s="1737"/>
      <c r="P56" s="1737"/>
      <c r="AH56" s="1744">
        <v>0</v>
      </c>
    </row>
    <row s="5387" customFormat="1" customHeight="1" ht="18.75" hidden="1">
      <c r="A57" s="1893" t="s">
        <v>264</v>
      </c>
      <c r="B57" s="1893" t="s">
        <v>265</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399</v>
      </c>
      <c r="M57" s="2283"/>
      <c r="N57" s="447"/>
      <c r="O57" s="1737"/>
      <c r="P57" s="1737"/>
      <c r="AH57" s="1744">
        <v>0</v>
      </c>
    </row>
    <row s="5387" customFormat="1" customHeight="1" ht="18.75" hidden="1">
      <c r="A58" s="1893"/>
      <c r="B58" s="1893"/>
      <c r="C58" s="482" t="s">
        <v>1234</v>
      </c>
      <c r="D58" s="2575"/>
      <c r="E58" s="2317"/>
      <c r="F58" s="2496"/>
      <c r="G58" s="2540"/>
      <c r="H58" s="1613"/>
      <c r="I58" s="764" t="s">
        <v>1235</v>
      </c>
      <c r="J58" s="684"/>
      <c r="K58" s="1613"/>
      <c r="L58" s="327"/>
      <c r="M58" s="2283"/>
      <c r="N58" s="447"/>
      <c r="O58" s="1737"/>
      <c r="P58" s="1737"/>
      <c r="AH58" s="1744">
        <v>0</v>
      </c>
    </row>
    <row s="5387" customFormat="1" customHeight="1" ht="0.75" hidden="1">
      <c r="A59" s="1893"/>
      <c r="B59" s="1893"/>
      <c r="C59" s="482" t="s">
        <v>1240</v>
      </c>
      <c r="D59" s="2575"/>
      <c r="E59" s="2317"/>
      <c r="F59" s="2496"/>
      <c r="G59" s="513"/>
      <c r="H59" s="1613"/>
      <c r="I59" s="764"/>
      <c r="J59" s="684"/>
      <c r="K59" s="1613"/>
      <c r="L59" s="327"/>
      <c r="M59" s="2283"/>
      <c r="N59" s="447"/>
      <c r="O59" s="1737"/>
      <c r="P59" s="1737"/>
      <c r="AH59" s="1744">
        <v>0</v>
      </c>
    </row>
    <row s="5387" customFormat="1" customHeight="1" ht="18.75" hidden="1">
      <c r="A60" s="1893" t="s">
        <v>269</v>
      </c>
      <c r="B60" s="1893" t="s">
        <v>270</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399</v>
      </c>
      <c r="M60" s="2283"/>
      <c r="N60" s="447"/>
      <c r="O60" s="1737"/>
      <c r="P60" s="1737"/>
      <c r="AH60" s="1744">
        <v>0</v>
      </c>
    </row>
    <row s="5387" customFormat="1" customHeight="1" ht="18.75" hidden="1">
      <c r="A61" s="1893"/>
      <c r="B61" s="1893"/>
      <c r="C61" s="482" t="s">
        <v>1234</v>
      </c>
      <c r="D61" s="2575"/>
      <c r="E61" s="2317"/>
      <c r="F61" s="2496"/>
      <c r="G61" s="2540"/>
      <c r="H61" s="1613"/>
      <c r="I61" s="764" t="s">
        <v>1235</v>
      </c>
      <c r="J61" s="684"/>
      <c r="K61" s="1613"/>
      <c r="L61" s="327"/>
      <c r="M61" s="2283"/>
      <c r="N61" s="447"/>
      <c r="O61" s="1737"/>
      <c r="P61" s="1737"/>
      <c r="AH61" s="1744">
        <v>0</v>
      </c>
    </row>
    <row s="5387" customFormat="1" customHeight="1" ht="0.75" hidden="1">
      <c r="A62" s="1893"/>
      <c r="B62" s="1893"/>
      <c r="C62" s="482" t="s">
        <v>1240</v>
      </c>
      <c r="D62" s="2575"/>
      <c r="E62" s="2317"/>
      <c r="F62" s="2496"/>
      <c r="G62" s="513"/>
      <c r="H62" s="1613"/>
      <c r="I62" s="764"/>
      <c r="J62" s="684"/>
      <c r="K62" s="1613"/>
      <c r="L62" s="327"/>
      <c r="M62" s="2283"/>
      <c r="N62" s="447"/>
      <c r="O62" s="1737"/>
      <c r="P62" s="1737"/>
      <c r="AH62" s="1744">
        <v>0</v>
      </c>
    </row>
    <row s="5387" customFormat="1" customHeight="1" ht="18.75" hidden="1">
      <c r="A63" s="1893" t="s">
        <v>274</v>
      </c>
      <c r="B63" s="1893" t="s">
        <v>275</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399</v>
      </c>
      <c r="M63" s="2283"/>
      <c r="N63" s="447"/>
      <c r="O63" s="1737"/>
      <c r="P63" s="1737"/>
      <c r="AH63" s="1744">
        <v>0</v>
      </c>
    </row>
    <row s="5387" customFormat="1" customHeight="1" ht="18.75" hidden="1">
      <c r="A64" s="1893"/>
      <c r="B64" s="1893"/>
      <c r="C64" s="482" t="s">
        <v>1234</v>
      </c>
      <c r="D64" s="2575"/>
      <c r="E64" s="2317"/>
      <c r="F64" s="2496"/>
      <c r="G64" s="2540"/>
      <c r="H64" s="1613"/>
      <c r="I64" s="764" t="s">
        <v>1235</v>
      </c>
      <c r="J64" s="684"/>
      <c r="K64" s="1613"/>
      <c r="L64" s="327"/>
      <c r="M64" s="2283"/>
      <c r="N64" s="447"/>
      <c r="O64" s="1737"/>
      <c r="P64" s="1737"/>
      <c r="AH64" s="1744">
        <v>0</v>
      </c>
    </row>
    <row s="5387" customFormat="1" customHeight="1" ht="0.75" hidden="1">
      <c r="A65" s="1893"/>
      <c r="B65" s="1893"/>
      <c r="C65" s="482" t="s">
        <v>1240</v>
      </c>
      <c r="D65" s="2575"/>
      <c r="E65" s="2317"/>
      <c r="F65" s="2496"/>
      <c r="G65" s="513"/>
      <c r="H65" s="1613"/>
      <c r="I65" s="764"/>
      <c r="J65" s="684"/>
      <c r="K65" s="1613"/>
      <c r="L65" s="327"/>
      <c r="M65" s="2283"/>
      <c r="N65" s="447"/>
      <c r="O65" s="1737"/>
      <c r="P65" s="1737"/>
      <c r="AH65" s="1744">
        <v>0</v>
      </c>
    </row>
    <row s="5387" customFormat="1" customHeight="1" ht="18.75" hidden="1">
      <c r="A66" s="1893" t="s">
        <v>279</v>
      </c>
      <c r="B66" s="1893" t="s">
        <v>280</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399</v>
      </c>
      <c r="M66" s="2283"/>
      <c r="N66" s="447"/>
      <c r="O66" s="1737"/>
      <c r="P66" s="1737"/>
      <c r="AH66" s="1744">
        <v>0</v>
      </c>
    </row>
    <row s="5387" customFormat="1" customHeight="1" ht="18.75" hidden="1">
      <c r="A67" s="1893"/>
      <c r="B67" s="1893"/>
      <c r="C67" s="482" t="s">
        <v>1234</v>
      </c>
      <c r="D67" s="2575"/>
      <c r="E67" s="2317"/>
      <c r="F67" s="2496"/>
      <c r="G67" s="2540"/>
      <c r="H67" s="1613"/>
      <c r="I67" s="764" t="s">
        <v>1235</v>
      </c>
      <c r="J67" s="684"/>
      <c r="K67" s="1613"/>
      <c r="L67" s="327"/>
      <c r="M67" s="2283"/>
      <c r="N67" s="447"/>
      <c r="O67" s="1737"/>
      <c r="P67" s="1737"/>
      <c r="AH67" s="1744">
        <v>0</v>
      </c>
    </row>
    <row s="5387" customFormat="1" customHeight="1" ht="0.75" hidden="1">
      <c r="A68" s="1893"/>
      <c r="B68" s="1893"/>
      <c r="C68" s="482" t="s">
        <v>1240</v>
      </c>
      <c r="D68" s="2575"/>
      <c r="E68" s="2317"/>
      <c r="F68" s="2496"/>
      <c r="G68" s="513"/>
      <c r="H68" s="1613"/>
      <c r="I68" s="764"/>
      <c r="J68" s="684"/>
      <c r="K68" s="1613"/>
      <c r="L68" s="327"/>
      <c r="M68" s="2283"/>
      <c r="N68" s="447"/>
      <c r="O68" s="1737"/>
      <c r="P68" s="1737"/>
      <c r="AH68" s="1744">
        <v>0</v>
      </c>
    </row>
    <row s="5387" customFormat="1" customHeight="1" ht="18.75" hidden="1">
      <c r="A69" s="1893" t="s">
        <v>284</v>
      </c>
      <c r="B69" s="1893" t="s">
        <v>285</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399</v>
      </c>
      <c r="M69" s="2283"/>
      <c r="N69" s="447"/>
      <c r="O69" s="1737"/>
      <c r="P69" s="1737"/>
      <c r="AH69" s="1744">
        <v>0</v>
      </c>
    </row>
    <row s="5387" customFormat="1" customHeight="1" ht="18.75" hidden="1">
      <c r="A70" s="1893"/>
      <c r="B70" s="1893"/>
      <c r="C70" s="482" t="s">
        <v>1234</v>
      </c>
      <c r="D70" s="2575"/>
      <c r="E70" s="2317"/>
      <c r="F70" s="2496"/>
      <c r="G70" s="2540"/>
      <c r="H70" s="1613"/>
      <c r="I70" s="764" t="s">
        <v>1235</v>
      </c>
      <c r="J70" s="684"/>
      <c r="K70" s="1613"/>
      <c r="L70" s="327"/>
      <c r="M70" s="2283"/>
      <c r="N70" s="447"/>
      <c r="O70" s="1737"/>
      <c r="P70" s="1737"/>
      <c r="AH70" s="1744">
        <v>0</v>
      </c>
    </row>
    <row s="5387" customFormat="1" customHeight="1" ht="0.75" hidden="1">
      <c r="A71" s="1893"/>
      <c r="B71" s="1893"/>
      <c r="C71" s="482" t="s">
        <v>1240</v>
      </c>
      <c r="D71" s="2575"/>
      <c r="E71" s="2317"/>
      <c r="F71" s="2496"/>
      <c r="G71" s="513"/>
      <c r="H71" s="1613"/>
      <c r="I71" s="764"/>
      <c r="J71" s="684"/>
      <c r="K71" s="1613"/>
      <c r="L71" s="327"/>
      <c r="M71" s="2283"/>
      <c r="N71" s="447"/>
      <c r="O71" s="1737"/>
      <c r="P71" s="1737"/>
      <c r="AH71" s="1744">
        <v>0</v>
      </c>
    </row>
    <row s="5387" customFormat="1" customHeight="1" ht="18.75" hidden="1">
      <c r="A72" s="1893" t="s">
        <v>289</v>
      </c>
      <c r="B72" s="1893" t="s">
        <v>290</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399</v>
      </c>
      <c r="M72" s="2283"/>
      <c r="N72" s="447"/>
      <c r="O72" s="1737"/>
      <c r="P72" s="1737"/>
      <c r="AH72" s="1744">
        <v>0</v>
      </c>
    </row>
    <row s="5387" customFormat="1" customHeight="1" ht="18.75" hidden="1">
      <c r="A73" s="1893"/>
      <c r="B73" s="1893"/>
      <c r="C73" s="482" t="s">
        <v>1234</v>
      </c>
      <c r="D73" s="2575"/>
      <c r="E73" s="2317"/>
      <c r="F73" s="2496"/>
      <c r="G73" s="2540"/>
      <c r="H73" s="1613"/>
      <c r="I73" s="764" t="s">
        <v>1235</v>
      </c>
      <c r="J73" s="684"/>
      <c r="K73" s="1613"/>
      <c r="L73" s="327"/>
      <c r="M73" s="2283"/>
      <c r="N73" s="447"/>
      <c r="O73" s="1737"/>
      <c r="P73" s="1737"/>
      <c r="AH73" s="1744">
        <v>0</v>
      </c>
    </row>
    <row s="5387" customFormat="1" customHeight="1" ht="0.75" hidden="1">
      <c r="A74" s="1893"/>
      <c r="B74" s="1893"/>
      <c r="C74" s="482" t="s">
        <v>1240</v>
      </c>
      <c r="D74" s="2575"/>
      <c r="E74" s="2317"/>
      <c r="F74" s="2496"/>
      <c r="G74" s="513"/>
      <c r="H74" s="1613"/>
      <c r="I74" s="764"/>
      <c r="J74" s="684"/>
      <c r="K74" s="1613"/>
      <c r="L74" s="327"/>
      <c r="M74" s="2283"/>
      <c r="N74" s="447"/>
      <c r="O74" s="1737"/>
      <c r="P74" s="1737"/>
      <c r="AH74" s="1744">
        <v>0</v>
      </c>
    </row>
    <row s="5387" customFormat="1" customHeight="1" ht="18.75">
      <c r="A75" s="1893" t="s">
        <v>296</v>
      </c>
      <c r="B75" s="1893" t="s">
        <v>297</v>
      </c>
      <c r="C75" s="482"/>
      <c r="D75" s="2575"/>
      <c r="E75" s="2317"/>
      <c r="F75" s="2496" t="str">
        <f>INDEX(PT_DIFFERENTIATION_VTAR,MATCH(A75,PT_DIFFERENTIATION_VTAR_ID,0))</f>
        <v>Тариф на водоотведение</v>
      </c>
      <c r="G75" s="2540" t="str">
        <f>INDEX(PT_DIFFERENTIATION_NTAR,MATCH(B75,PT_DIFFERENTIATION_NTAR_ID,0))</f>
        <v>Тариф на водоотведение</v>
      </c>
      <c r="H75" s="1975"/>
      <c r="I75" s="9674">
        <v>45658.69049768519</v>
      </c>
      <c r="J75" s="9675">
        <v>47118.690625</v>
      </c>
      <c r="K75" s="1978" t="s">
        <v>1241</v>
      </c>
      <c r="L75" s="1975" t="s">
        <v>399</v>
      </c>
      <c r="M75" s="2283"/>
      <c r="N75" s="447"/>
      <c r="O75" s="1737"/>
      <c r="P75" s="1737"/>
      <c r="AH75" s="1744">
        <v>0</v>
      </c>
    </row>
    <row s="5387" customFormat="1" customHeight="1" ht="18.75">
      <c r="A76" s="1893"/>
      <c r="B76" s="1893"/>
      <c r="C76" s="482" t="s">
        <v>1234</v>
      </c>
      <c r="D76" s="2575"/>
      <c r="E76" s="2317"/>
      <c r="F76" s="2496"/>
      <c r="G76" s="2540"/>
      <c r="H76" s="1613"/>
      <c r="I76" s="764" t="s">
        <v>1235</v>
      </c>
      <c r="J76" s="684"/>
      <c r="K76" s="1613"/>
      <c r="L76" s="327"/>
      <c r="M76" s="2283"/>
      <c r="N76" s="447"/>
      <c r="O76" s="1737"/>
      <c r="P76" s="1737"/>
      <c r="AH76" s="1744">
        <v>0</v>
      </c>
    </row>
    <row s="5387" customFormat="1" customHeight="1" ht="0.75">
      <c r="A77" s="1893"/>
      <c r="B77" s="1893"/>
      <c r="C77" s="482" t="s">
        <v>1240</v>
      </c>
      <c r="D77" s="2575"/>
      <c r="E77" s="2317"/>
      <c r="F77" s="2496"/>
      <c r="G77" s="513"/>
      <c r="H77" s="1613"/>
      <c r="I77" s="764"/>
      <c r="J77" s="684"/>
      <c r="K77" s="1613"/>
      <c r="L77" s="327"/>
      <c r="M77" s="2283"/>
      <c r="N77" s="447"/>
      <c r="O77" s="1737"/>
      <c r="P77" s="1737"/>
      <c r="AH77" s="1744">
        <v>0</v>
      </c>
    </row>
    <row s="5387" customFormat="1" customHeight="1" ht="18.75" hidden="1">
      <c r="A78" s="1893" t="s">
        <v>363</v>
      </c>
      <c r="B78" s="1893" t="s">
        <v>364</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399</v>
      </c>
      <c r="M78" s="2283"/>
      <c r="N78" s="447"/>
      <c r="O78" s="1737"/>
      <c r="P78" s="1737"/>
      <c r="AH78" s="1744">
        <v>0</v>
      </c>
    </row>
    <row s="5387" customFormat="1" customHeight="1" ht="18.75" hidden="1">
      <c r="A79" s="1893"/>
      <c r="B79" s="1893"/>
      <c r="C79" s="482" t="s">
        <v>1234</v>
      </c>
      <c r="D79" s="2575"/>
      <c r="E79" s="2317"/>
      <c r="F79" s="2496"/>
      <c r="G79" s="2540"/>
      <c r="H79" s="1613"/>
      <c r="I79" s="764" t="s">
        <v>1235</v>
      </c>
      <c r="J79" s="684"/>
      <c r="K79" s="1613"/>
      <c r="L79" s="327"/>
      <c r="M79" s="2283"/>
      <c r="N79" s="447"/>
      <c r="O79" s="1737"/>
      <c r="P79" s="1737"/>
      <c r="AH79" s="1744">
        <v>0</v>
      </c>
    </row>
    <row s="5387" customFormat="1" customHeight="1" ht="0.75" hidden="1">
      <c r="A80" s="1893"/>
      <c r="B80" s="1893"/>
      <c r="C80" s="482" t="s">
        <v>1240</v>
      </c>
      <c r="D80" s="2575"/>
      <c r="E80" s="2317"/>
      <c r="F80" s="2496"/>
      <c r="G80" s="513"/>
      <c r="H80" s="1613"/>
      <c r="I80" s="764"/>
      <c r="J80" s="684"/>
      <c r="K80" s="1613"/>
      <c r="L80" s="327"/>
      <c r="M80" s="2283"/>
      <c r="N80" s="447"/>
      <c r="O80" s="1737"/>
      <c r="P80" s="1737"/>
      <c r="AH80" s="1744">
        <v>0</v>
      </c>
    </row>
    <row s="5387" customFormat="1" customHeight="1" ht="18.75" hidden="1">
      <c r="A81" s="1893" t="s">
        <v>368</v>
      </c>
      <c r="B81" s="1893" t="s">
        <v>369</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399</v>
      </c>
      <c r="M81" s="2283"/>
      <c r="N81" s="447"/>
      <c r="O81" s="1737"/>
      <c r="P81" s="1737"/>
      <c r="AH81" s="1744">
        <v>0</v>
      </c>
    </row>
    <row s="5387" customFormat="1" customHeight="1" ht="18.75" hidden="1">
      <c r="A82" s="1893"/>
      <c r="B82" s="1893"/>
      <c r="C82" s="482" t="s">
        <v>1234</v>
      </c>
      <c r="D82" s="2575"/>
      <c r="E82" s="2317"/>
      <c r="F82" s="2496"/>
      <c r="G82" s="2540"/>
      <c r="H82" s="1613"/>
      <c r="I82" s="764" t="s">
        <v>1235</v>
      </c>
      <c r="J82" s="684"/>
      <c r="K82" s="1613"/>
      <c r="L82" s="327"/>
      <c r="M82" s="2283"/>
      <c r="N82" s="447"/>
      <c r="O82" s="1737"/>
      <c r="P82" s="1737"/>
      <c r="AH82" s="1744">
        <v>0</v>
      </c>
    </row>
    <row s="5387" customFormat="1" customHeight="1" ht="1.05">
      <c r="A83" s="1893"/>
      <c r="B83" s="1893"/>
      <c r="C83" s="482" t="s">
        <v>1240</v>
      </c>
      <c r="D83" s="2575"/>
      <c r="E83" s="2317"/>
      <c r="F83" s="2496"/>
      <c r="G83" s="513"/>
      <c r="H83" s="1613"/>
      <c r="I83" s="764"/>
      <c r="J83" s="684"/>
      <c r="K83" s="1613"/>
      <c r="L83" s="327"/>
      <c r="M83" s="2283"/>
      <c r="N83" s="447"/>
      <c r="O83" s="1737"/>
      <c r="P83" s="1737"/>
      <c r="AH83" s="1744">
        <v>1</v>
      </c>
    </row>
    <row customHeight="1" ht="19.95">
      <c r="A84" s="1893"/>
      <c r="B84" s="1893"/>
      <c r="D84" s="489"/>
      <c r="E84" s="260" t="s">
        <v>103</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73"/>
      <c r="H84" s="2573"/>
      <c r="I84" s="2573"/>
      <c r="J84" s="2573"/>
      <c r="K84" s="2573"/>
      <c r="L84" s="2573"/>
      <c r="M84" s="410"/>
      <c r="N84" s="447"/>
      <c r="AH84" s="487">
        <v>19</v>
      </c>
    </row>
    <row customHeight="1" ht="35.699999999999996">
      <c r="A85" s="1893"/>
      <c r="B85" s="1893"/>
      <c r="D85" s="489"/>
      <c r="E85" s="512"/>
      <c r="F85" s="311" t="s">
        <v>399</v>
      </c>
      <c r="G85" s="311" t="s">
        <v>399</v>
      </c>
      <c r="H85" s="2331" t="s">
        <v>399</v>
      </c>
      <c r="I85" s="2333"/>
      <c r="J85" s="311" t="s">
        <v>399</v>
      </c>
      <c r="K85" s="311" t="s">
        <v>399</v>
      </c>
      <c r="L85" s="9677" t="s">
        <v>1242</v>
      </c>
      <c r="M85" s="458" t="s">
        <v>1243</v>
      </c>
      <c r="N85" s="447"/>
      <c r="AH85" s="487">
        <v>34</v>
      </c>
    </row>
    <row customHeight="1" ht="19.95">
      <c r="A86" s="1893"/>
      <c r="B86" s="1893"/>
      <c r="D86" s="489"/>
      <c r="E86" s="260" t="s">
        <v>90</v>
      </c>
      <c r="F86" s="2573" t="s">
        <v>1244</v>
      </c>
      <c r="G86" s="2573"/>
      <c r="H86" s="2573"/>
      <c r="I86" s="2573"/>
      <c r="J86" s="2573"/>
      <c r="K86" s="2573"/>
      <c r="L86" s="2573"/>
      <c r="M86" s="410"/>
      <c r="N86" s="447"/>
      <c r="AH86" s="487">
        <v>19</v>
      </c>
    </row>
    <row s="5387" customFormat="1" customHeight="1" ht="60.75" hidden="1">
      <c r="A87" s="1893" t="s">
        <v>186</v>
      </c>
      <c r="B87" s="1893" t="s">
        <v>187</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399</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7" customFormat="1" customHeight="1" ht="18.75" hidden="1">
      <c r="A88" s="1893"/>
      <c r="B88" s="1893"/>
      <c r="C88" s="482" t="s">
        <v>1236</v>
      </c>
      <c r="D88" s="2575"/>
      <c r="E88" s="2317"/>
      <c r="F88" s="2496"/>
      <c r="G88" s="2540"/>
      <c r="H88" s="1613"/>
      <c r="I88" s="764" t="s">
        <v>1235</v>
      </c>
      <c r="J88" s="684"/>
      <c r="K88" s="1613"/>
      <c r="L88" s="327"/>
      <c r="M88" s="2283"/>
      <c r="N88" s="447"/>
      <c r="O88" s="1737"/>
      <c r="P88" s="1737"/>
      <c r="AH88" s="1744">
        <v>0</v>
      </c>
    </row>
    <row s="5387" customFormat="1" customHeight="1" ht="0.75" hidden="1">
      <c r="A89" s="1893"/>
      <c r="B89" s="1893"/>
      <c r="C89" s="482" t="s">
        <v>1245</v>
      </c>
      <c r="D89" s="2575"/>
      <c r="E89" s="2317"/>
      <c r="F89" s="2496"/>
      <c r="G89" s="513"/>
      <c r="H89" s="1613"/>
      <c r="I89" s="764"/>
      <c r="J89" s="684"/>
      <c r="K89" s="1613"/>
      <c r="L89" s="327"/>
      <c r="M89" s="2283"/>
      <c r="N89" s="447"/>
      <c r="O89" s="1737"/>
      <c r="P89" s="1737"/>
      <c r="AH89" s="1744">
        <v>0</v>
      </c>
    </row>
    <row s="5387" customFormat="1" customHeight="1" ht="45" hidden="1">
      <c r="A90" s="1893" t="s">
        <v>191</v>
      </c>
      <c r="B90" s="1893" t="s">
        <v>192</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399</v>
      </c>
      <c r="M90" s="2284"/>
      <c r="N90" s="447"/>
      <c r="O90" s="1737"/>
      <c r="P90" s="1737"/>
      <c r="AH90" s="1744">
        <v>0</v>
      </c>
    </row>
    <row s="5387" customFormat="1" customHeight="1" ht="18.75" hidden="1">
      <c r="A91" s="1893"/>
      <c r="B91" s="1893"/>
      <c r="C91" s="482" t="s">
        <v>1236</v>
      </c>
      <c r="D91" s="2575"/>
      <c r="E91" s="2317"/>
      <c r="F91" s="2496"/>
      <c r="G91" s="2540"/>
      <c r="H91" s="1613"/>
      <c r="I91" s="764" t="s">
        <v>1235</v>
      </c>
      <c r="J91" s="684"/>
      <c r="K91" s="1613"/>
      <c r="L91" s="327"/>
      <c r="M91" s="1974"/>
      <c r="N91" s="447"/>
      <c r="O91" s="1737"/>
      <c r="P91" s="1737"/>
      <c r="AH91" s="1744">
        <v>0</v>
      </c>
    </row>
    <row s="5387" customFormat="1" customHeight="1" ht="0.75" hidden="1">
      <c r="A92" s="1893"/>
      <c r="B92" s="1893"/>
      <c r="C92" s="482" t="s">
        <v>1245</v>
      </c>
      <c r="D92" s="2575"/>
      <c r="E92" s="2317"/>
      <c r="F92" s="2496"/>
      <c r="G92" s="513"/>
      <c r="H92" s="1613"/>
      <c r="I92" s="764"/>
      <c r="J92" s="684"/>
      <c r="K92" s="1613"/>
      <c r="L92" s="327"/>
      <c r="M92" s="454"/>
      <c r="N92" s="447"/>
      <c r="O92" s="1737"/>
      <c r="P92" s="1737"/>
      <c r="AH92" s="1744">
        <v>0</v>
      </c>
    </row>
    <row s="5387" customFormat="1" customHeight="1" ht="45" hidden="1">
      <c r="A93" s="1893" t="s">
        <v>198</v>
      </c>
      <c r="B93" s="1893" t="s">
        <v>199</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399</v>
      </c>
      <c r="M93" s="454"/>
      <c r="N93" s="447"/>
      <c r="O93" s="1737"/>
      <c r="P93" s="1737"/>
      <c r="AH93" s="1744">
        <v>0</v>
      </c>
    </row>
    <row s="5387" customFormat="1" customHeight="1" ht="18.75" hidden="1">
      <c r="A94" s="1893"/>
      <c r="B94" s="1893"/>
      <c r="C94" s="482" t="s">
        <v>1236</v>
      </c>
      <c r="D94" s="2575"/>
      <c r="E94" s="2317"/>
      <c r="F94" s="2496"/>
      <c r="G94" s="2540"/>
      <c r="H94" s="1613"/>
      <c r="I94" s="764" t="s">
        <v>1235</v>
      </c>
      <c r="J94" s="684"/>
      <c r="K94" s="1613"/>
      <c r="L94" s="327"/>
      <c r="M94" s="454"/>
      <c r="N94" s="447"/>
      <c r="O94" s="1737"/>
      <c r="P94" s="1737"/>
      <c r="AH94" s="1744">
        <v>0</v>
      </c>
    </row>
    <row s="5387" customFormat="1" customHeight="1" ht="0.75" hidden="1">
      <c r="A95" s="1893"/>
      <c r="B95" s="1893"/>
      <c r="C95" s="482" t="s">
        <v>1245</v>
      </c>
      <c r="D95" s="2575"/>
      <c r="E95" s="2317"/>
      <c r="F95" s="2496"/>
      <c r="G95" s="513"/>
      <c r="H95" s="1613"/>
      <c r="I95" s="764"/>
      <c r="J95" s="684"/>
      <c r="K95" s="1613"/>
      <c r="L95" s="327"/>
      <c r="M95" s="454"/>
      <c r="N95" s="447"/>
      <c r="O95" s="1737"/>
      <c r="P95" s="1737"/>
      <c r="AH95" s="1744">
        <v>0</v>
      </c>
    </row>
    <row s="5387" customFormat="1" customHeight="1" ht="45" hidden="1">
      <c r="A96" s="1893" t="s">
        <v>204</v>
      </c>
      <c r="B96" s="1893" t="s">
        <v>205</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399</v>
      </c>
      <c r="M96" s="454"/>
      <c r="N96" s="447"/>
      <c r="O96" s="1737"/>
      <c r="P96" s="1737"/>
      <c r="AH96" s="1744">
        <v>0</v>
      </c>
    </row>
    <row s="5387" customFormat="1" customHeight="1" ht="18.75" hidden="1">
      <c r="A97" s="1893"/>
      <c r="B97" s="1893"/>
      <c r="C97" s="482" t="s">
        <v>1236</v>
      </c>
      <c r="D97" s="2575"/>
      <c r="E97" s="2317"/>
      <c r="F97" s="2496"/>
      <c r="G97" s="2540"/>
      <c r="H97" s="1613"/>
      <c r="I97" s="764" t="s">
        <v>1235</v>
      </c>
      <c r="J97" s="684"/>
      <c r="K97" s="1613"/>
      <c r="L97" s="327"/>
      <c r="M97" s="454"/>
      <c r="N97" s="447"/>
      <c r="O97" s="1737"/>
      <c r="P97" s="1737"/>
      <c r="AH97" s="1744">
        <v>0</v>
      </c>
    </row>
    <row s="5387" customFormat="1" customHeight="1" ht="0.75" hidden="1">
      <c r="A98" s="1893"/>
      <c r="B98" s="1893"/>
      <c r="C98" s="482" t="s">
        <v>1245</v>
      </c>
      <c r="D98" s="2575"/>
      <c r="E98" s="2317"/>
      <c r="F98" s="2496"/>
      <c r="G98" s="513"/>
      <c r="H98" s="1613"/>
      <c r="I98" s="764"/>
      <c r="J98" s="684"/>
      <c r="K98" s="1613"/>
      <c r="L98" s="327"/>
      <c r="M98" s="454"/>
      <c r="N98" s="447"/>
      <c r="O98" s="1737"/>
      <c r="P98" s="1737"/>
      <c r="AH98" s="1744">
        <v>0</v>
      </c>
    </row>
    <row s="5387" customFormat="1" customHeight="1" ht="18.75" hidden="1">
      <c r="A99" s="1893" t="s">
        <v>210</v>
      </c>
      <c r="B99" s="1893" t="s">
        <v>211</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399</v>
      </c>
      <c r="M99" s="454"/>
      <c r="N99" s="447"/>
      <c r="O99" s="1737"/>
      <c r="P99" s="1737"/>
      <c r="AH99" s="1744">
        <v>0</v>
      </c>
    </row>
    <row s="5387" customFormat="1" customHeight="1" ht="18.75" hidden="1">
      <c r="A100" s="1893"/>
      <c r="B100" s="1893"/>
      <c r="C100" s="482" t="s">
        <v>1236</v>
      </c>
      <c r="D100" s="2575"/>
      <c r="E100" s="2317"/>
      <c r="F100" s="2496"/>
      <c r="G100" s="2540"/>
      <c r="H100" s="1613"/>
      <c r="I100" s="764" t="s">
        <v>1235</v>
      </c>
      <c r="J100" s="684"/>
      <c r="K100" s="1613"/>
      <c r="L100" s="327"/>
      <c r="M100" s="454"/>
      <c r="N100" s="447"/>
      <c r="O100" s="1737"/>
      <c r="P100" s="1737"/>
      <c r="AH100" s="1744">
        <v>0</v>
      </c>
    </row>
    <row s="5387" customFormat="1" customHeight="1" ht="0.75" hidden="1">
      <c r="A101" s="1893"/>
      <c r="B101" s="1893"/>
      <c r="C101" s="482" t="s">
        <v>1245</v>
      </c>
      <c r="D101" s="2575"/>
      <c r="E101" s="2317"/>
      <c r="F101" s="2496"/>
      <c r="G101" s="513"/>
      <c r="H101" s="1613"/>
      <c r="I101" s="764"/>
      <c r="J101" s="684"/>
      <c r="K101" s="1613"/>
      <c r="L101" s="327"/>
      <c r="M101" s="454"/>
      <c r="N101" s="447"/>
      <c r="O101" s="1737"/>
      <c r="P101" s="1737"/>
      <c r="AH101" s="1744">
        <v>0</v>
      </c>
    </row>
    <row s="5387" customFormat="1" customHeight="1" ht="18.75" hidden="1">
      <c r="A102" s="1893" t="s">
        <v>216</v>
      </c>
      <c r="B102" s="1893" t="s">
        <v>217</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399</v>
      </c>
      <c r="M102" s="454"/>
      <c r="N102" s="447"/>
      <c r="O102" s="1737"/>
      <c r="P102" s="1737"/>
      <c r="AH102" s="1744">
        <v>0</v>
      </c>
    </row>
    <row s="5387" customFormat="1" customHeight="1" ht="18.75" hidden="1">
      <c r="A103" s="1893"/>
      <c r="B103" s="1893"/>
      <c r="C103" s="482" t="s">
        <v>1236</v>
      </c>
      <c r="D103" s="2575"/>
      <c r="E103" s="2317"/>
      <c r="F103" s="2496"/>
      <c r="G103" s="2540"/>
      <c r="H103" s="1613"/>
      <c r="I103" s="764" t="s">
        <v>1235</v>
      </c>
      <c r="J103" s="684"/>
      <c r="K103" s="1613"/>
      <c r="L103" s="327"/>
      <c r="M103" s="454"/>
      <c r="N103" s="447"/>
      <c r="O103" s="1737"/>
      <c r="P103" s="1737"/>
      <c r="AH103" s="1744">
        <v>0</v>
      </c>
    </row>
    <row s="5387" customFormat="1" customHeight="1" ht="0.75" hidden="1">
      <c r="A104" s="1893"/>
      <c r="B104" s="1893"/>
      <c r="C104" s="482" t="s">
        <v>1245</v>
      </c>
      <c r="D104" s="2575"/>
      <c r="E104" s="2317"/>
      <c r="F104" s="2496"/>
      <c r="G104" s="513"/>
      <c r="H104" s="1613"/>
      <c r="I104" s="764"/>
      <c r="J104" s="684"/>
      <c r="K104" s="1613"/>
      <c r="L104" s="327"/>
      <c r="M104" s="454"/>
      <c r="N104" s="447"/>
      <c r="O104" s="1737"/>
      <c r="P104" s="1737"/>
      <c r="AH104" s="1744">
        <v>0</v>
      </c>
    </row>
    <row s="5387" customFormat="1" customHeight="1" ht="18.75" hidden="1">
      <c r="A105" s="1893" t="s">
        <v>222</v>
      </c>
      <c r="B105" s="1893" t="s">
        <v>223</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399</v>
      </c>
      <c r="M105" s="454"/>
      <c r="N105" s="447"/>
      <c r="O105" s="1737"/>
      <c r="P105" s="1737"/>
      <c r="AH105" s="1744">
        <v>0</v>
      </c>
    </row>
    <row s="5387" customFormat="1" customHeight="1" ht="18.75" hidden="1">
      <c r="A106" s="1893"/>
      <c r="B106" s="1893"/>
      <c r="C106" s="482" t="s">
        <v>1236</v>
      </c>
      <c r="D106" s="2575"/>
      <c r="E106" s="2317"/>
      <c r="F106" s="2496"/>
      <c r="G106" s="2540"/>
      <c r="H106" s="1613"/>
      <c r="I106" s="764" t="s">
        <v>1235</v>
      </c>
      <c r="J106" s="684"/>
      <c r="K106" s="1613"/>
      <c r="L106" s="327"/>
      <c r="M106" s="454"/>
      <c r="N106" s="447"/>
      <c r="O106" s="1737"/>
      <c r="P106" s="1737"/>
      <c r="AH106" s="1744">
        <v>0</v>
      </c>
    </row>
    <row s="5387" customFormat="1" customHeight="1" ht="0.75" hidden="1">
      <c r="A107" s="1893"/>
      <c r="B107" s="1893"/>
      <c r="C107" s="482" t="s">
        <v>1245</v>
      </c>
      <c r="D107" s="2575"/>
      <c r="E107" s="2317"/>
      <c r="F107" s="2496"/>
      <c r="G107" s="513"/>
      <c r="H107" s="1613"/>
      <c r="I107" s="764"/>
      <c r="J107" s="684"/>
      <c r="K107" s="1613"/>
      <c r="L107" s="327"/>
      <c r="M107" s="454"/>
      <c r="N107" s="447"/>
      <c r="O107" s="1737"/>
      <c r="P107" s="1737"/>
      <c r="AH107" s="1744">
        <v>0</v>
      </c>
    </row>
    <row s="5387" customFormat="1" customHeight="1" ht="18.75" hidden="1">
      <c r="A108" s="1893" t="s">
        <v>228</v>
      </c>
      <c r="B108" s="1893" t="s">
        <v>229</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399</v>
      </c>
      <c r="M108" s="454"/>
      <c r="N108" s="447"/>
      <c r="O108" s="1737"/>
      <c r="P108" s="1737"/>
      <c r="AH108" s="1744">
        <v>0</v>
      </c>
    </row>
    <row s="5387" customFormat="1" customHeight="1" ht="18.75" hidden="1">
      <c r="A109" s="1893"/>
      <c r="B109" s="1893"/>
      <c r="C109" s="482" t="s">
        <v>1236</v>
      </c>
      <c r="D109" s="2575"/>
      <c r="E109" s="2317"/>
      <c r="F109" s="2496"/>
      <c r="G109" s="2540"/>
      <c r="H109" s="1613"/>
      <c r="I109" s="764" t="s">
        <v>1235</v>
      </c>
      <c r="J109" s="684"/>
      <c r="K109" s="1613"/>
      <c r="L109" s="327"/>
      <c r="M109" s="454"/>
      <c r="N109" s="447"/>
      <c r="O109" s="1737"/>
      <c r="P109" s="1737"/>
      <c r="AH109" s="1744">
        <v>0</v>
      </c>
    </row>
    <row s="5387" customFormat="1" customHeight="1" ht="0.75" hidden="1">
      <c r="A110" s="1893"/>
      <c r="B110" s="1893"/>
      <c r="C110" s="482" t="s">
        <v>1245</v>
      </c>
      <c r="D110" s="2575"/>
      <c r="E110" s="2317"/>
      <c r="F110" s="2496"/>
      <c r="G110" s="513"/>
      <c r="H110" s="1613"/>
      <c r="I110" s="764"/>
      <c r="J110" s="684"/>
      <c r="K110" s="1613"/>
      <c r="L110" s="327"/>
      <c r="M110" s="454"/>
      <c r="N110" s="447"/>
      <c r="O110" s="1737"/>
      <c r="P110" s="1737"/>
      <c r="AH110" s="1744">
        <v>0</v>
      </c>
    </row>
    <row s="5387" customFormat="1" customHeight="1" ht="18.75" hidden="1">
      <c r="A111" s="1893" t="s">
        <v>234</v>
      </c>
      <c r="B111" s="1893" t="s">
        <v>235</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399</v>
      </c>
      <c r="M111" s="454"/>
      <c r="N111" s="447"/>
      <c r="O111" s="1737"/>
      <c r="P111" s="1737"/>
      <c r="AH111" s="1744">
        <v>0</v>
      </c>
    </row>
    <row s="5387" customFormat="1" customHeight="1" ht="18.75" hidden="1">
      <c r="A112" s="1893"/>
      <c r="B112" s="1893"/>
      <c r="C112" s="482" t="s">
        <v>1236</v>
      </c>
      <c r="D112" s="2575"/>
      <c r="E112" s="2317"/>
      <c r="F112" s="2496"/>
      <c r="G112" s="2540"/>
      <c r="H112" s="1613"/>
      <c r="I112" s="764" t="s">
        <v>1235</v>
      </c>
      <c r="J112" s="684"/>
      <c r="K112" s="1613"/>
      <c r="L112" s="327"/>
      <c r="M112" s="454"/>
      <c r="N112" s="447"/>
      <c r="O112" s="1737"/>
      <c r="P112" s="1737"/>
      <c r="AH112" s="1744">
        <v>0</v>
      </c>
    </row>
    <row s="5387" customFormat="1" customHeight="1" ht="0.75" hidden="1">
      <c r="A113" s="1893"/>
      <c r="B113" s="1893"/>
      <c r="C113" s="482" t="s">
        <v>1245</v>
      </c>
      <c r="D113" s="2575"/>
      <c r="E113" s="2317"/>
      <c r="F113" s="2496"/>
      <c r="G113" s="513"/>
      <c r="H113" s="1613"/>
      <c r="I113" s="764"/>
      <c r="J113" s="684"/>
      <c r="K113" s="1613"/>
      <c r="L113" s="327"/>
      <c r="M113" s="454"/>
      <c r="N113" s="447"/>
      <c r="O113" s="1737"/>
      <c r="P113" s="1737"/>
      <c r="AH113" s="1744">
        <v>0</v>
      </c>
    </row>
    <row s="5387" customFormat="1" customHeight="1" ht="18.75" hidden="1">
      <c r="A114" s="1893" t="s">
        <v>254</v>
      </c>
      <c r="B114" s="1893" t="s">
        <v>255</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399</v>
      </c>
      <c r="M114" s="454"/>
      <c r="N114" s="447"/>
      <c r="O114" s="1737"/>
      <c r="P114" s="1737"/>
      <c r="AH114" s="1744">
        <v>0</v>
      </c>
    </row>
    <row s="5387" customFormat="1" customHeight="1" ht="18.75" hidden="1">
      <c r="A115" s="1893"/>
      <c r="B115" s="1893"/>
      <c r="C115" s="482" t="s">
        <v>1236</v>
      </c>
      <c r="D115" s="2575"/>
      <c r="E115" s="2317"/>
      <c r="F115" s="2496"/>
      <c r="G115" s="2540"/>
      <c r="H115" s="1613"/>
      <c r="I115" s="764" t="s">
        <v>1235</v>
      </c>
      <c r="J115" s="684"/>
      <c r="K115" s="1613"/>
      <c r="L115" s="327"/>
      <c r="M115" s="454"/>
      <c r="N115" s="447"/>
      <c r="O115" s="1737"/>
      <c r="P115" s="1737"/>
      <c r="AH115" s="1744">
        <v>0</v>
      </c>
    </row>
    <row s="5387" customFormat="1" customHeight="1" ht="0.75" hidden="1">
      <c r="A116" s="1893"/>
      <c r="B116" s="1893"/>
      <c r="C116" s="482" t="s">
        <v>1245</v>
      </c>
      <c r="D116" s="2575"/>
      <c r="E116" s="2317"/>
      <c r="F116" s="2496"/>
      <c r="G116" s="513"/>
      <c r="H116" s="1613"/>
      <c r="I116" s="764"/>
      <c r="J116" s="684"/>
      <c r="K116" s="1613"/>
      <c r="L116" s="327"/>
      <c r="M116" s="454"/>
      <c r="N116" s="447"/>
      <c r="O116" s="1737"/>
      <c r="P116" s="1737"/>
      <c r="AH116" s="1744">
        <v>0</v>
      </c>
    </row>
    <row s="5387" customFormat="1" customHeight="1" ht="18.75" hidden="1">
      <c r="A117" s="1893" t="s">
        <v>259</v>
      </c>
      <c r="B117" s="1893" t="s">
        <v>260</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399</v>
      </c>
      <c r="M117" s="454"/>
      <c r="N117" s="447"/>
      <c r="O117" s="1737"/>
      <c r="P117" s="1737"/>
      <c r="AH117" s="1744">
        <v>0</v>
      </c>
    </row>
    <row s="5387" customFormat="1" customHeight="1" ht="18.75" hidden="1">
      <c r="A118" s="1893"/>
      <c r="B118" s="1893"/>
      <c r="C118" s="482" t="s">
        <v>1236</v>
      </c>
      <c r="D118" s="2575"/>
      <c r="E118" s="2317"/>
      <c r="F118" s="2496"/>
      <c r="G118" s="2540"/>
      <c r="H118" s="1613"/>
      <c r="I118" s="764" t="s">
        <v>1235</v>
      </c>
      <c r="J118" s="684"/>
      <c r="K118" s="1613"/>
      <c r="L118" s="327"/>
      <c r="M118" s="454"/>
      <c r="N118" s="447"/>
      <c r="O118" s="1737"/>
      <c r="P118" s="1737"/>
      <c r="AH118" s="1744">
        <v>0</v>
      </c>
    </row>
    <row s="5387" customFormat="1" customHeight="1" ht="0.75" hidden="1">
      <c r="A119" s="1893"/>
      <c r="B119" s="1893"/>
      <c r="C119" s="482" t="s">
        <v>1245</v>
      </c>
      <c r="D119" s="2575"/>
      <c r="E119" s="2317"/>
      <c r="F119" s="2496"/>
      <c r="G119" s="513"/>
      <c r="H119" s="1613"/>
      <c r="I119" s="764"/>
      <c r="J119" s="684"/>
      <c r="K119" s="1613"/>
      <c r="L119" s="327"/>
      <c r="M119" s="454"/>
      <c r="N119" s="447"/>
      <c r="O119" s="1737"/>
      <c r="P119" s="1737"/>
      <c r="AH119" s="1744">
        <v>0</v>
      </c>
    </row>
    <row s="5387" customFormat="1" customHeight="1" ht="18.75" hidden="1">
      <c r="A120" s="1893" t="s">
        <v>264</v>
      </c>
      <c r="B120" s="1893" t="s">
        <v>265</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399</v>
      </c>
      <c r="M120" s="454"/>
      <c r="N120" s="447"/>
      <c r="O120" s="1737"/>
      <c r="P120" s="1737"/>
      <c r="AH120" s="1744">
        <v>0</v>
      </c>
    </row>
    <row s="5387" customFormat="1" customHeight="1" ht="18.75" hidden="1">
      <c r="A121" s="1893"/>
      <c r="B121" s="1893"/>
      <c r="C121" s="482" t="s">
        <v>1236</v>
      </c>
      <c r="D121" s="2575"/>
      <c r="E121" s="2317"/>
      <c r="F121" s="2496"/>
      <c r="G121" s="2540"/>
      <c r="H121" s="1613"/>
      <c r="I121" s="764" t="s">
        <v>1235</v>
      </c>
      <c r="J121" s="684"/>
      <c r="K121" s="1613"/>
      <c r="L121" s="327"/>
      <c r="M121" s="454"/>
      <c r="N121" s="447"/>
      <c r="O121" s="1737"/>
      <c r="P121" s="1737"/>
      <c r="AH121" s="1744">
        <v>0</v>
      </c>
    </row>
    <row s="5387" customFormat="1" customHeight="1" ht="0.75" hidden="1">
      <c r="A122" s="1893"/>
      <c r="B122" s="1893"/>
      <c r="C122" s="482" t="s">
        <v>1245</v>
      </c>
      <c r="D122" s="2575"/>
      <c r="E122" s="2317"/>
      <c r="F122" s="2496"/>
      <c r="G122" s="513"/>
      <c r="H122" s="1613"/>
      <c r="I122" s="764"/>
      <c r="J122" s="684"/>
      <c r="K122" s="1613"/>
      <c r="L122" s="327"/>
      <c r="M122" s="454"/>
      <c r="N122" s="447"/>
      <c r="O122" s="1737"/>
      <c r="P122" s="1737"/>
      <c r="AH122" s="1744">
        <v>0</v>
      </c>
    </row>
    <row s="5387" customFormat="1" customHeight="1" ht="18.75" hidden="1">
      <c r="A123" s="1893" t="s">
        <v>269</v>
      </c>
      <c r="B123" s="1893" t="s">
        <v>270</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399</v>
      </c>
      <c r="M123" s="454"/>
      <c r="N123" s="447"/>
      <c r="O123" s="1737"/>
      <c r="P123" s="1737"/>
      <c r="AH123" s="1744">
        <v>0</v>
      </c>
    </row>
    <row s="5387" customFormat="1" customHeight="1" ht="18.75" hidden="1">
      <c r="A124" s="1893"/>
      <c r="B124" s="1893"/>
      <c r="C124" s="482" t="s">
        <v>1236</v>
      </c>
      <c r="D124" s="2575"/>
      <c r="E124" s="2317"/>
      <c r="F124" s="2496"/>
      <c r="G124" s="2540"/>
      <c r="H124" s="1613"/>
      <c r="I124" s="764" t="s">
        <v>1235</v>
      </c>
      <c r="J124" s="684"/>
      <c r="K124" s="1613"/>
      <c r="L124" s="327"/>
      <c r="M124" s="454"/>
      <c r="N124" s="447"/>
      <c r="O124" s="1737"/>
      <c r="P124" s="1737"/>
      <c r="AH124" s="1744">
        <v>0</v>
      </c>
    </row>
    <row s="5387" customFormat="1" customHeight="1" ht="0.75" hidden="1">
      <c r="A125" s="1893"/>
      <c r="B125" s="1893"/>
      <c r="C125" s="482" t="s">
        <v>1245</v>
      </c>
      <c r="D125" s="2575"/>
      <c r="E125" s="2317"/>
      <c r="F125" s="2496"/>
      <c r="G125" s="513"/>
      <c r="H125" s="1613"/>
      <c r="I125" s="764"/>
      <c r="J125" s="684"/>
      <c r="K125" s="1613"/>
      <c r="L125" s="327"/>
      <c r="M125" s="454"/>
      <c r="N125" s="447"/>
      <c r="O125" s="1737"/>
      <c r="P125" s="1737"/>
      <c r="AH125" s="1744">
        <v>0</v>
      </c>
    </row>
    <row s="5387" customFormat="1" customHeight="1" ht="18.75" hidden="1">
      <c r="A126" s="1893" t="s">
        <v>274</v>
      </c>
      <c r="B126" s="1893" t="s">
        <v>275</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399</v>
      </c>
      <c r="M126" s="454"/>
      <c r="N126" s="447"/>
      <c r="O126" s="1737"/>
      <c r="P126" s="1737"/>
      <c r="AH126" s="1744">
        <v>0</v>
      </c>
    </row>
    <row s="5387" customFormat="1" customHeight="1" ht="18.75" hidden="1">
      <c r="A127" s="1893"/>
      <c r="B127" s="1893"/>
      <c r="C127" s="482" t="s">
        <v>1236</v>
      </c>
      <c r="D127" s="2575"/>
      <c r="E127" s="2317"/>
      <c r="F127" s="2496"/>
      <c r="G127" s="2540"/>
      <c r="H127" s="1613"/>
      <c r="I127" s="764" t="s">
        <v>1235</v>
      </c>
      <c r="J127" s="684"/>
      <c r="K127" s="1613"/>
      <c r="L127" s="327"/>
      <c r="M127" s="454"/>
      <c r="N127" s="447"/>
      <c r="O127" s="1737"/>
      <c r="P127" s="1737"/>
      <c r="AH127" s="1744">
        <v>0</v>
      </c>
    </row>
    <row s="5387" customFormat="1" customHeight="1" ht="0.75" hidden="1">
      <c r="A128" s="1893"/>
      <c r="B128" s="1893"/>
      <c r="C128" s="482" t="s">
        <v>1245</v>
      </c>
      <c r="D128" s="2575"/>
      <c r="E128" s="2317"/>
      <c r="F128" s="2496"/>
      <c r="G128" s="513"/>
      <c r="H128" s="1613"/>
      <c r="I128" s="764"/>
      <c r="J128" s="684"/>
      <c r="K128" s="1613"/>
      <c r="L128" s="327"/>
      <c r="M128" s="454"/>
      <c r="N128" s="447"/>
      <c r="O128" s="1737"/>
      <c r="P128" s="1737"/>
      <c r="AH128" s="1744">
        <v>0</v>
      </c>
    </row>
    <row s="5387" customFormat="1" customHeight="1" ht="18.75" hidden="1">
      <c r="A129" s="1893" t="s">
        <v>279</v>
      </c>
      <c r="B129" s="1893" t="s">
        <v>280</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399</v>
      </c>
      <c r="M129" s="454"/>
      <c r="N129" s="447"/>
      <c r="O129" s="1737"/>
      <c r="P129" s="1737"/>
      <c r="AH129" s="1744">
        <v>0</v>
      </c>
    </row>
    <row s="5387" customFormat="1" customHeight="1" ht="18.75" hidden="1">
      <c r="A130" s="1893"/>
      <c r="B130" s="1893"/>
      <c r="C130" s="482" t="s">
        <v>1236</v>
      </c>
      <c r="D130" s="2575"/>
      <c r="E130" s="2317"/>
      <c r="F130" s="2496"/>
      <c r="G130" s="2540"/>
      <c r="H130" s="1613"/>
      <c r="I130" s="764" t="s">
        <v>1235</v>
      </c>
      <c r="J130" s="684"/>
      <c r="K130" s="1613"/>
      <c r="L130" s="327"/>
      <c r="M130" s="454"/>
      <c r="N130" s="447"/>
      <c r="O130" s="1737"/>
      <c r="P130" s="1737"/>
      <c r="AH130" s="1744">
        <v>0</v>
      </c>
    </row>
    <row s="5387" customFormat="1" customHeight="1" ht="0.75" hidden="1">
      <c r="A131" s="1893"/>
      <c r="B131" s="1893"/>
      <c r="C131" s="482" t="s">
        <v>1245</v>
      </c>
      <c r="D131" s="2575"/>
      <c r="E131" s="2317"/>
      <c r="F131" s="2496"/>
      <c r="G131" s="513"/>
      <c r="H131" s="1613"/>
      <c r="I131" s="764"/>
      <c r="J131" s="684"/>
      <c r="K131" s="1613"/>
      <c r="L131" s="327"/>
      <c r="M131" s="454"/>
      <c r="N131" s="447"/>
      <c r="O131" s="1737"/>
      <c r="P131" s="1737"/>
      <c r="AH131" s="1744">
        <v>0</v>
      </c>
    </row>
    <row s="5387" customFormat="1" customHeight="1" ht="18.75" hidden="1">
      <c r="A132" s="1893" t="s">
        <v>284</v>
      </c>
      <c r="B132" s="1893" t="s">
        <v>285</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399</v>
      </c>
      <c r="M132" s="454"/>
      <c r="N132" s="447"/>
      <c r="O132" s="1737"/>
      <c r="P132" s="1737"/>
      <c r="AH132" s="1744">
        <v>0</v>
      </c>
    </row>
    <row s="5387" customFormat="1" customHeight="1" ht="18.75" hidden="1">
      <c r="A133" s="1893"/>
      <c r="B133" s="1893"/>
      <c r="C133" s="482" t="s">
        <v>1236</v>
      </c>
      <c r="D133" s="2575"/>
      <c r="E133" s="2317"/>
      <c r="F133" s="2496"/>
      <c r="G133" s="2540"/>
      <c r="H133" s="1613"/>
      <c r="I133" s="764" t="s">
        <v>1235</v>
      </c>
      <c r="J133" s="684"/>
      <c r="K133" s="1613"/>
      <c r="L133" s="327"/>
      <c r="M133" s="454"/>
      <c r="N133" s="447"/>
      <c r="O133" s="1737"/>
      <c r="P133" s="1737"/>
      <c r="AH133" s="1744">
        <v>0</v>
      </c>
    </row>
    <row s="5387" customFormat="1" customHeight="1" ht="0.75" hidden="1">
      <c r="A134" s="1893"/>
      <c r="B134" s="1893"/>
      <c r="C134" s="482" t="s">
        <v>1245</v>
      </c>
      <c r="D134" s="2575"/>
      <c r="E134" s="2317"/>
      <c r="F134" s="2496"/>
      <c r="G134" s="513"/>
      <c r="H134" s="1613"/>
      <c r="I134" s="764"/>
      <c r="J134" s="684"/>
      <c r="K134" s="1613"/>
      <c r="L134" s="327"/>
      <c r="M134" s="454"/>
      <c r="N134" s="447"/>
      <c r="O134" s="1737"/>
      <c r="P134" s="1737"/>
      <c r="AH134" s="1744">
        <v>0</v>
      </c>
    </row>
    <row s="5387" customFormat="1" customHeight="1" ht="18.75" hidden="1">
      <c r="A135" s="1893" t="s">
        <v>289</v>
      </c>
      <c r="B135" s="1893" t="s">
        <v>290</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399</v>
      </c>
      <c r="M135" s="454"/>
      <c r="N135" s="447"/>
      <c r="O135" s="1737"/>
      <c r="P135" s="1737"/>
      <c r="AH135" s="1744">
        <v>0</v>
      </c>
    </row>
    <row s="5387" customFormat="1" customHeight="1" ht="18.75" hidden="1">
      <c r="A136" s="1893"/>
      <c r="B136" s="1893"/>
      <c r="C136" s="482" t="s">
        <v>1236</v>
      </c>
      <c r="D136" s="2575"/>
      <c r="E136" s="2317"/>
      <c r="F136" s="2496"/>
      <c r="G136" s="2540"/>
      <c r="H136" s="1613"/>
      <c r="I136" s="764" t="s">
        <v>1235</v>
      </c>
      <c r="J136" s="684"/>
      <c r="K136" s="1613"/>
      <c r="L136" s="327"/>
      <c r="M136" s="454"/>
      <c r="N136" s="447"/>
      <c r="O136" s="1737"/>
      <c r="P136" s="1737"/>
      <c r="AH136" s="1744">
        <v>0</v>
      </c>
    </row>
    <row s="5387" customFormat="1" customHeight="1" ht="0.75" hidden="1">
      <c r="A137" s="1893"/>
      <c r="B137" s="1893"/>
      <c r="C137" s="482" t="s">
        <v>1245</v>
      </c>
      <c r="D137" s="2575"/>
      <c r="E137" s="2317"/>
      <c r="F137" s="2496"/>
      <c r="G137" s="513"/>
      <c r="H137" s="1613"/>
      <c r="I137" s="764"/>
      <c r="J137" s="684"/>
      <c r="K137" s="1613"/>
      <c r="L137" s="327"/>
      <c r="M137" s="454"/>
      <c r="N137" s="447"/>
      <c r="O137" s="1737"/>
      <c r="P137" s="1737"/>
      <c r="AH137" s="1744">
        <v>0</v>
      </c>
    </row>
    <row s="5387" customFormat="1" customHeight="1" ht="31.702181498209637">
      <c r="A138" s="1893" t="s">
        <v>296</v>
      </c>
      <c r="B138" s="1893" t="s">
        <v>297</v>
      </c>
      <c r="C138" s="482"/>
      <c r="D138" s="2575"/>
      <c r="E138" s="2317"/>
      <c r="F138" s="2496" t="str">
        <f>INDEX(PT_DIFFERENTIATION_VTAR,MATCH(A138,PT_DIFFERENTIATION_VTAR_ID,0))</f>
        <v>Тариф на водоотведение</v>
      </c>
      <c r="G138" s="2540" t="str">
        <f>INDEX(PT_DIFFERENTIATION_NTAR,MATCH(B138,PT_DIFFERENTIATION_NTAR_ID,0))</f>
        <v>Тариф на водоотведение</v>
      </c>
      <c r="H138" s="1975"/>
      <c r="I138" s="9674">
        <v>45658.69200231481</v>
      </c>
      <c r="J138" s="9675">
        <v>46022.692094907405</v>
      </c>
      <c r="K138" s="1891">
        <v>305205.42</v>
      </c>
      <c r="L138" s="1975" t="s">
        <v>399</v>
      </c>
      <c r="M138" s="454"/>
      <c r="N138" s="447"/>
      <c r="O138" s="1737"/>
      <c r="P138" s="1737"/>
      <c r="AH138" s="1744">
        <v>0</v>
      </c>
    </row>
    <row s="6591" customFormat="1" customHeight="1" ht="26.702181498209637">
      <c r="A139" s="6889"/>
      <c r="B139" s="6889"/>
      <c r="C139" s="9679"/>
      <c r="D139" s="9680"/>
      <c r="E139" s="9681"/>
      <c r="F139" s="9681"/>
      <c r="G139" s="9681"/>
      <c r="H139" s="6701" t="s">
        <v>104</v>
      </c>
      <c r="I139" s="9674">
        <v>46023.69230324074</v>
      </c>
      <c r="J139" s="9675">
        <v>46387.692395833335</v>
      </c>
      <c r="K139" s="9682">
        <v>287130.14</v>
      </c>
      <c r="L139" s="6703" t="s">
        <v>399</v>
      </c>
      <c r="M139" s="9683"/>
      <c r="N139" s="9684"/>
      <c r="O139" s="6785"/>
      <c r="P139" s="6785"/>
      <c r="Q139" s="6591"/>
      <c r="R139" s="6591"/>
      <c r="S139" s="6591"/>
      <c r="T139" s="6591"/>
      <c r="U139" s="6591"/>
      <c r="V139" s="6591"/>
      <c r="W139" s="6591"/>
      <c r="X139" s="6591"/>
      <c r="Y139" s="6591"/>
      <c r="Z139" s="6591"/>
      <c r="AA139" s="6591"/>
      <c r="AB139" s="6591"/>
      <c r="AC139" s="6591"/>
      <c r="AD139" s="6591"/>
      <c r="AE139" s="6591"/>
      <c r="AF139" s="6591"/>
      <c r="AG139" s="6591"/>
      <c r="AH139" s="6591">
        <v>0</v>
      </c>
    </row>
    <row s="6591" customFormat="1" customHeight="1" ht="30.8688481648763">
      <c r="A140" s="6889"/>
      <c r="B140" s="6889"/>
      <c r="C140" s="9679"/>
      <c r="D140" s="9680"/>
      <c r="E140" s="9681"/>
      <c r="F140" s="9681"/>
      <c r="G140" s="9681"/>
      <c r="H140" s="6701" t="s">
        <v>104</v>
      </c>
      <c r="I140" s="9674">
        <v>46388.69261574074</v>
      </c>
      <c r="J140" s="9675">
        <v>46752.692719907405</v>
      </c>
      <c r="K140" s="9682">
        <v>295130.72</v>
      </c>
      <c r="L140" s="6703" t="s">
        <v>399</v>
      </c>
      <c r="M140" s="9683"/>
      <c r="N140" s="9684"/>
      <c r="O140" s="6785"/>
      <c r="P140" s="6785"/>
      <c r="Q140" s="6591"/>
      <c r="R140" s="6591"/>
      <c r="S140" s="6591"/>
      <c r="T140" s="6591"/>
      <c r="U140" s="6591"/>
      <c r="V140" s="6591"/>
      <c r="W140" s="6591"/>
      <c r="X140" s="6591"/>
      <c r="Y140" s="6591"/>
      <c r="Z140" s="6591"/>
      <c r="AA140" s="6591"/>
      <c r="AB140" s="6591"/>
      <c r="AC140" s="6591"/>
      <c r="AD140" s="6591"/>
      <c r="AE140" s="6591"/>
      <c r="AF140" s="6591"/>
      <c r="AG140" s="6591"/>
      <c r="AH140" s="6591">
        <v>0</v>
      </c>
    </row>
    <row s="6591" customFormat="1" customHeight="1" ht="29.202181498209637">
      <c r="A141" s="6889"/>
      <c r="B141" s="6889"/>
      <c r="C141" s="9679"/>
      <c r="D141" s="9680"/>
      <c r="E141" s="9681"/>
      <c r="F141" s="9681"/>
      <c r="G141" s="9681"/>
      <c r="H141" s="6701" t="s">
        <v>104</v>
      </c>
      <c r="I141" s="9674">
        <v>46753.69293981481</v>
      </c>
      <c r="J141" s="9675">
        <v>47118.69310185185</v>
      </c>
      <c r="K141" s="9682">
        <v>303368.12</v>
      </c>
      <c r="L141" s="6703" t="s">
        <v>399</v>
      </c>
      <c r="M141" s="9683"/>
      <c r="N141" s="9684"/>
      <c r="O141" s="6785"/>
      <c r="P141" s="6785"/>
      <c r="Q141" s="6591"/>
      <c r="R141" s="6591"/>
      <c r="S141" s="6591"/>
      <c r="T141" s="6591"/>
      <c r="U141" s="6591"/>
      <c r="V141" s="6591"/>
      <c r="W141" s="6591"/>
      <c r="X141" s="6591"/>
      <c r="Y141" s="6591"/>
      <c r="Z141" s="6591"/>
      <c r="AA141" s="6591"/>
      <c r="AB141" s="6591"/>
      <c r="AC141" s="6591"/>
      <c r="AD141" s="6591"/>
      <c r="AE141" s="6591"/>
      <c r="AF141" s="6591"/>
      <c r="AG141" s="6591"/>
      <c r="AH141" s="6591">
        <v>0</v>
      </c>
    </row>
    <row s="5387" customFormat="1" customHeight="1" ht="18.75">
      <c r="A142" s="1893"/>
      <c r="B142" s="1893"/>
      <c r="C142" s="482" t="s">
        <v>1236</v>
      </c>
      <c r="D142" s="2575"/>
      <c r="E142" s="2317"/>
      <c r="F142" s="2496"/>
      <c r="G142" s="2540"/>
      <c r="H142" s="1613"/>
      <c r="I142" s="764" t="s">
        <v>1235</v>
      </c>
      <c r="J142" s="684"/>
      <c r="K142" s="1613"/>
      <c r="L142" s="327"/>
      <c r="M142" s="454"/>
      <c r="N142" s="447"/>
      <c r="O142" s="1737"/>
      <c r="P142" s="1737"/>
      <c r="AH142" s="1744">
        <v>0</v>
      </c>
    </row>
    <row s="5387" customFormat="1" customHeight="1" ht="0.75">
      <c r="A143" s="1893"/>
      <c r="B143" s="1893"/>
      <c r="C143" s="482" t="s">
        <v>1245</v>
      </c>
      <c r="D143" s="2575"/>
      <c r="E143" s="2317"/>
      <c r="F143" s="2496"/>
      <c r="G143" s="513"/>
      <c r="H143" s="1613"/>
      <c r="I143" s="764"/>
      <c r="J143" s="684"/>
      <c r="K143" s="1613"/>
      <c r="L143" s="327"/>
      <c r="M143" s="454"/>
      <c r="N143" s="447"/>
      <c r="O143" s="1737"/>
      <c r="P143" s="1737"/>
      <c r="AH143" s="1744">
        <v>0</v>
      </c>
    </row>
    <row s="5387" customFormat="1" customHeight="1" ht="18.75" hidden="1">
      <c r="A144" s="1893" t="s">
        <v>363</v>
      </c>
      <c r="B144" s="1893" t="s">
        <v>364</v>
      </c>
      <c r="C144" s="482"/>
      <c r="D144" s="2575"/>
      <c r="E144" s="2317"/>
      <c r="F144" s="2496" t="str">
        <f>INDEX(PT_DIFFERENTIATION_VTAR,MATCH(A144,PT_DIFFERENTIATION_VTAR_ID,0))</f>
        <v>Тариф на транспортировку сточных вод</v>
      </c>
      <c r="G144" s="2540" t="str">
        <f>INDEX(PT_DIFFERENTIATION_NTAR,MATCH(B144,PT_DIFFERENTIATION_NTAR_ID,0))</f>
        <v/>
      </c>
      <c r="H144" s="1975"/>
      <c r="I144" s="1852"/>
      <c r="J144" s="1886"/>
      <c r="K144" s="1891"/>
      <c r="L144" s="1975" t="s">
        <v>399</v>
      </c>
      <c r="M144" s="454"/>
      <c r="N144" s="447"/>
      <c r="O144" s="1737"/>
      <c r="P144" s="1737"/>
      <c r="AH144" s="1744">
        <v>0</v>
      </c>
    </row>
    <row s="5387" customFormat="1" customHeight="1" ht="18.75" hidden="1">
      <c r="A145" s="1893"/>
      <c r="B145" s="1893"/>
      <c r="C145" s="482" t="s">
        <v>1236</v>
      </c>
      <c r="D145" s="2575"/>
      <c r="E145" s="2317"/>
      <c r="F145" s="2496"/>
      <c r="G145" s="2540"/>
      <c r="H145" s="1613"/>
      <c r="I145" s="764" t="s">
        <v>1235</v>
      </c>
      <c r="J145" s="684"/>
      <c r="K145" s="1613"/>
      <c r="L145" s="327"/>
      <c r="M145" s="454"/>
      <c r="N145" s="447"/>
      <c r="O145" s="1737"/>
      <c r="P145" s="1737"/>
      <c r="AH145" s="1744">
        <v>0</v>
      </c>
    </row>
    <row s="5387" customFormat="1" customHeight="1" ht="0.75" hidden="1">
      <c r="A146" s="1893"/>
      <c r="B146" s="1893"/>
      <c r="C146" s="482" t="s">
        <v>1245</v>
      </c>
      <c r="D146" s="2575"/>
      <c r="E146" s="2317"/>
      <c r="F146" s="2496"/>
      <c r="G146" s="513"/>
      <c r="H146" s="1613"/>
      <c r="I146" s="764"/>
      <c r="J146" s="684"/>
      <c r="K146" s="1613"/>
      <c r="L146" s="327"/>
      <c r="M146" s="454"/>
      <c r="N146" s="447"/>
      <c r="O146" s="1737"/>
      <c r="P146" s="1737"/>
      <c r="AH146" s="1744">
        <v>0</v>
      </c>
    </row>
    <row s="5387" customFormat="1" customHeight="1" ht="18.75" hidden="1">
      <c r="A147" s="1893" t="s">
        <v>368</v>
      </c>
      <c r="B147" s="1893" t="s">
        <v>369</v>
      </c>
      <c r="C147" s="482"/>
      <c r="D147" s="2575"/>
      <c r="E147" s="2317"/>
      <c r="F147" s="2496" t="str">
        <f>INDEX(PT_DIFFERENTIATION_VTAR,MATCH(A147,PT_DIFFERENTIATION_VTAR_ID,0))</f>
        <v>Тариф на подключение (технологическое присоединение) к централизованной системе водоотведения</v>
      </c>
      <c r="G147" s="2540" t="str">
        <f>INDEX(PT_DIFFERENTIATION_NTAR,MATCH(B147,PT_DIFFERENTIATION_NTAR_ID,0))</f>
        <v/>
      </c>
      <c r="H147" s="1975"/>
      <c r="I147" s="1852"/>
      <c r="J147" s="1886"/>
      <c r="K147" s="1891"/>
      <c r="L147" s="1975" t="s">
        <v>399</v>
      </c>
      <c r="M147" s="454"/>
      <c r="N147" s="447"/>
      <c r="O147" s="1737"/>
      <c r="P147" s="1737"/>
      <c r="AH147" s="1744">
        <v>0</v>
      </c>
    </row>
    <row s="5387" customFormat="1" customHeight="1" ht="18.75" hidden="1">
      <c r="A148" s="1893"/>
      <c r="B148" s="1893"/>
      <c r="C148" s="482" t="s">
        <v>1236</v>
      </c>
      <c r="D148" s="2575"/>
      <c r="E148" s="2317"/>
      <c r="F148" s="2496"/>
      <c r="G148" s="2540"/>
      <c r="H148" s="1613"/>
      <c r="I148" s="764" t="s">
        <v>1235</v>
      </c>
      <c r="J148" s="684"/>
      <c r="K148" s="1613"/>
      <c r="L148" s="327"/>
      <c r="M148" s="454"/>
      <c r="N148" s="447"/>
      <c r="O148" s="1737"/>
      <c r="P148" s="1737"/>
      <c r="AH148" s="1744">
        <v>0</v>
      </c>
    </row>
    <row s="5387" customFormat="1" customHeight="1" ht="1.05">
      <c r="A149" s="1893"/>
      <c r="B149" s="1893"/>
      <c r="C149" s="482" t="s">
        <v>1245</v>
      </c>
      <c r="D149" s="2575"/>
      <c r="E149" s="2317"/>
      <c r="F149" s="2496"/>
      <c r="G149" s="513"/>
      <c r="H149" s="1613"/>
      <c r="I149" s="764"/>
      <c r="J149" s="684"/>
      <c r="K149" s="1613"/>
      <c r="L149" s="327"/>
      <c r="M149" s="454"/>
      <c r="N149" s="447"/>
      <c r="O149" s="1737"/>
      <c r="P149" s="1737"/>
      <c r="AH149" s="1744">
        <v>1</v>
      </c>
    </row>
    <row customHeight="1" ht="19.95">
      <c r="A150" s="1893"/>
      <c r="B150" s="1893"/>
      <c r="D150" s="489"/>
      <c r="E150" s="260" t="s">
        <v>91</v>
      </c>
      <c r="F150"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0" s="2573"/>
      <c r="H150" s="2573"/>
      <c r="I150" s="2573"/>
      <c r="J150" s="2573"/>
      <c r="K150" s="2573"/>
      <c r="L150" s="2573"/>
      <c r="M150" s="410"/>
      <c r="N150" s="447"/>
      <c r="AH150" s="487">
        <v>19</v>
      </c>
    </row>
    <row s="5387" customFormat="1" customHeight="1" ht="60.75" hidden="1">
      <c r="A151" s="1893" t="s">
        <v>186</v>
      </c>
      <c r="B151" s="1893" t="s">
        <v>187</v>
      </c>
      <c r="C151" s="482"/>
      <c r="D151" s="2575"/>
      <c r="E151" s="2317"/>
      <c r="F151" s="2496"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540" t="str">
        <f>INDEX(PT_DIFFERENTIATION_NTAR,MATCH(B151,PT_DIFFERENTIATION_NTAR_ID,0))</f>
        <v/>
      </c>
      <c r="H151" s="1975"/>
      <c r="I151" s="1852"/>
      <c r="J151" s="1886"/>
      <c r="K151" s="1891"/>
      <c r="L151" s="1975" t="s">
        <v>399</v>
      </c>
      <c r="M151"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1" s="447"/>
      <c r="O151" s="1737"/>
      <c r="P151" s="1737"/>
      <c r="AH151" s="1744">
        <v>0</v>
      </c>
    </row>
    <row s="5387" customFormat="1" customHeight="1" ht="18.75" hidden="1">
      <c r="A152" s="1893"/>
      <c r="B152" s="1893"/>
      <c r="C152" s="482" t="s">
        <v>1236</v>
      </c>
      <c r="D152" s="2575"/>
      <c r="E152" s="2317"/>
      <c r="F152" s="2496"/>
      <c r="G152" s="2540"/>
      <c r="H152" s="1613"/>
      <c r="I152" s="764" t="s">
        <v>1235</v>
      </c>
      <c r="J152" s="684"/>
      <c r="K152" s="1613"/>
      <c r="L152" s="327"/>
      <c r="M152" s="2283"/>
      <c r="N152" s="447"/>
      <c r="O152" s="1737"/>
      <c r="P152" s="1737"/>
      <c r="AH152" s="1744">
        <v>0</v>
      </c>
    </row>
    <row s="5387" customFormat="1" customHeight="1" ht="0.75" hidden="1">
      <c r="A153" s="1893"/>
      <c r="B153" s="1893"/>
      <c r="C153" s="482" t="s">
        <v>1245</v>
      </c>
      <c r="D153" s="2575"/>
      <c r="E153" s="2317"/>
      <c r="F153" s="2496"/>
      <c r="G153" s="513"/>
      <c r="H153" s="1613"/>
      <c r="I153" s="764"/>
      <c r="J153" s="684"/>
      <c r="K153" s="1613"/>
      <c r="L153" s="327"/>
      <c r="M153" s="2283"/>
      <c r="N153" s="447"/>
      <c r="O153" s="1737"/>
      <c r="P153" s="1737"/>
      <c r="AH153" s="1744">
        <v>0</v>
      </c>
    </row>
    <row s="5387" customFormat="1" customHeight="1" ht="45" hidden="1">
      <c r="A154" s="1893" t="s">
        <v>191</v>
      </c>
      <c r="B154" s="1893" t="s">
        <v>192</v>
      </c>
      <c r="C154" s="482"/>
      <c r="D154" s="2575"/>
      <c r="E154" s="2317"/>
      <c r="F154" s="2496" t="str">
        <f>INDEX(PT_DIFFERENTIATION_VTAR,MATCH(A154,PT_DIFFERENTIATION_VTAR_ID,0))</f>
        <v/>
      </c>
      <c r="G154" s="2540" t="str">
        <f>INDEX(PT_DIFFERENTIATION_NTAR,MATCH(B154,PT_DIFFERENTIATION_NTAR_ID,0))</f>
        <v/>
      </c>
      <c r="H154" s="1975"/>
      <c r="I154" s="1852"/>
      <c r="J154" s="1886"/>
      <c r="K154" s="1891"/>
      <c r="L154" s="1975" t="s">
        <v>399</v>
      </c>
      <c r="M154" s="2284"/>
      <c r="N154" s="447"/>
      <c r="O154" s="1737"/>
      <c r="P154" s="1737"/>
      <c r="AH154" s="1744">
        <v>0</v>
      </c>
    </row>
    <row s="5387" customFormat="1" customHeight="1" ht="18.75" hidden="1">
      <c r="A155" s="1893"/>
      <c r="B155" s="1893"/>
      <c r="C155" s="482" t="s">
        <v>1236</v>
      </c>
      <c r="D155" s="2575"/>
      <c r="E155" s="2317"/>
      <c r="F155" s="2496"/>
      <c r="G155" s="2540"/>
      <c r="H155" s="1613"/>
      <c r="I155" s="764" t="s">
        <v>1235</v>
      </c>
      <c r="J155" s="684"/>
      <c r="K155" s="1613"/>
      <c r="L155" s="327"/>
      <c r="M155" s="1974"/>
      <c r="N155" s="447"/>
      <c r="O155" s="1737"/>
      <c r="P155" s="1737"/>
      <c r="AH155" s="1744">
        <v>0</v>
      </c>
    </row>
    <row s="5387" customFormat="1" customHeight="1" ht="0.75" hidden="1">
      <c r="A156" s="1893"/>
      <c r="B156" s="1893"/>
      <c r="C156" s="482" t="s">
        <v>1245</v>
      </c>
      <c r="D156" s="2575"/>
      <c r="E156" s="2317"/>
      <c r="F156" s="2496"/>
      <c r="G156" s="513"/>
      <c r="H156" s="1613"/>
      <c r="I156" s="764"/>
      <c r="J156" s="684"/>
      <c r="K156" s="1613"/>
      <c r="L156" s="327"/>
      <c r="M156" s="454"/>
      <c r="N156" s="447"/>
      <c r="O156" s="1737"/>
      <c r="P156" s="1737"/>
      <c r="AH156" s="1744">
        <v>0</v>
      </c>
    </row>
    <row s="5387" customFormat="1" customHeight="1" ht="45" hidden="1">
      <c r="A157" s="1893" t="s">
        <v>198</v>
      </c>
      <c r="B157" s="1893" t="s">
        <v>199</v>
      </c>
      <c r="C157" s="482"/>
      <c r="D157" s="2575"/>
      <c r="E157" s="2317"/>
      <c r="F157" s="2496"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2540" t="str">
        <f>INDEX(PT_DIFFERENTIATION_NTAR,MATCH(B157,PT_DIFFERENTIATION_NTAR_ID,0))</f>
        <v/>
      </c>
      <c r="H157" s="1975"/>
      <c r="I157" s="1852"/>
      <c r="J157" s="1886"/>
      <c r="K157" s="1891"/>
      <c r="L157" s="1975" t="s">
        <v>399</v>
      </c>
      <c r="M157" s="454"/>
      <c r="N157" s="447"/>
      <c r="O157" s="1737"/>
      <c r="P157" s="1737"/>
      <c r="AH157" s="1744">
        <v>0</v>
      </c>
    </row>
    <row s="5387" customFormat="1" customHeight="1" ht="18.75" hidden="1">
      <c r="A158" s="1893"/>
      <c r="B158" s="1893"/>
      <c r="C158" s="482" t="s">
        <v>1236</v>
      </c>
      <c r="D158" s="2575"/>
      <c r="E158" s="2317"/>
      <c r="F158" s="2496"/>
      <c r="G158" s="2540"/>
      <c r="H158" s="1613"/>
      <c r="I158" s="764" t="s">
        <v>1235</v>
      </c>
      <c r="J158" s="684"/>
      <c r="K158" s="1613"/>
      <c r="L158" s="327"/>
      <c r="M158" s="454"/>
      <c r="N158" s="447"/>
      <c r="O158" s="1737"/>
      <c r="P158" s="1737"/>
      <c r="AH158" s="1744">
        <v>0</v>
      </c>
    </row>
    <row s="5387" customFormat="1" customHeight="1" ht="0.75" hidden="1">
      <c r="A159" s="1893"/>
      <c r="B159" s="1893"/>
      <c r="C159" s="482" t="s">
        <v>1245</v>
      </c>
      <c r="D159" s="2575"/>
      <c r="E159" s="2317"/>
      <c r="F159" s="2496"/>
      <c r="G159" s="513"/>
      <c r="H159" s="1613"/>
      <c r="I159" s="764"/>
      <c r="J159" s="684"/>
      <c r="K159" s="1613"/>
      <c r="L159" s="327"/>
      <c r="M159" s="454"/>
      <c r="N159" s="447"/>
      <c r="O159" s="1737"/>
      <c r="P159" s="1737"/>
      <c r="AH159" s="1744">
        <v>0</v>
      </c>
    </row>
    <row s="5387" customFormat="1" customHeight="1" ht="45" hidden="1">
      <c r="A160" s="1893" t="s">
        <v>204</v>
      </c>
      <c r="B160" s="1893" t="s">
        <v>205</v>
      </c>
      <c r="C160" s="482"/>
      <c r="D160" s="2575"/>
      <c r="E160" s="2317"/>
      <c r="F160" s="2496"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540" t="str">
        <f>INDEX(PT_DIFFERENTIATION_NTAR,MATCH(B160,PT_DIFFERENTIATION_NTAR_ID,0))</f>
        <v/>
      </c>
      <c r="H160" s="1975"/>
      <c r="I160" s="1852"/>
      <c r="J160" s="1886"/>
      <c r="K160" s="1891"/>
      <c r="L160" s="1975" t="s">
        <v>399</v>
      </c>
      <c r="M160" s="454"/>
      <c r="N160" s="447"/>
      <c r="O160" s="1737"/>
      <c r="P160" s="1737"/>
      <c r="AH160" s="1744">
        <v>0</v>
      </c>
    </row>
    <row s="5387" customFormat="1" customHeight="1" ht="18.75" hidden="1">
      <c r="A161" s="1893"/>
      <c r="B161" s="1893"/>
      <c r="C161" s="482" t="s">
        <v>1236</v>
      </c>
      <c r="D161" s="2575"/>
      <c r="E161" s="2317"/>
      <c r="F161" s="2496"/>
      <c r="G161" s="2540"/>
      <c r="H161" s="1613"/>
      <c r="I161" s="764" t="s">
        <v>1235</v>
      </c>
      <c r="J161" s="684"/>
      <c r="K161" s="1613"/>
      <c r="L161" s="327"/>
      <c r="M161" s="454"/>
      <c r="N161" s="447"/>
      <c r="O161" s="1737"/>
      <c r="P161" s="1737"/>
      <c r="AH161" s="1744">
        <v>0</v>
      </c>
    </row>
    <row s="5387" customFormat="1" customHeight="1" ht="0.75" hidden="1">
      <c r="A162" s="1893"/>
      <c r="B162" s="1893"/>
      <c r="C162" s="482" t="s">
        <v>1245</v>
      </c>
      <c r="D162" s="2575"/>
      <c r="E162" s="2317"/>
      <c r="F162" s="2496"/>
      <c r="G162" s="513"/>
      <c r="H162" s="1613"/>
      <c r="I162" s="764"/>
      <c r="J162" s="684"/>
      <c r="K162" s="1613"/>
      <c r="L162" s="327"/>
      <c r="M162" s="454"/>
      <c r="N162" s="447"/>
      <c r="O162" s="1737"/>
      <c r="P162" s="1737"/>
      <c r="AH162" s="1744">
        <v>0</v>
      </c>
    </row>
    <row s="5387" customFormat="1" customHeight="1" ht="18.75" hidden="1">
      <c r="A163" s="1893" t="s">
        <v>210</v>
      </c>
      <c r="B163" s="1893" t="s">
        <v>211</v>
      </c>
      <c r="C163" s="482"/>
      <c r="D163" s="2575"/>
      <c r="E163" s="2317"/>
      <c r="F163" s="2496" t="str">
        <f>INDEX(PT_DIFFERENTIATION_VTAR,MATCH(A163,PT_DIFFERENTIATION_VTAR_ID,0))</f>
        <v>Тарифы на услуги по передаче тепловой энергии</v>
      </c>
      <c r="G163" s="2540" t="str">
        <f>INDEX(PT_DIFFERENTIATION_NTAR,MATCH(B163,PT_DIFFERENTIATION_NTAR_ID,0))</f>
        <v/>
      </c>
      <c r="H163" s="1975"/>
      <c r="I163" s="1852"/>
      <c r="J163" s="1886"/>
      <c r="K163" s="1891"/>
      <c r="L163" s="1975" t="s">
        <v>399</v>
      </c>
      <c r="M163" s="454"/>
      <c r="N163" s="447"/>
      <c r="O163" s="1737"/>
      <c r="P163" s="1737"/>
      <c r="AH163" s="1744">
        <v>0</v>
      </c>
    </row>
    <row s="5387" customFormat="1" customHeight="1" ht="18.75" hidden="1">
      <c r="A164" s="1893"/>
      <c r="B164" s="1893"/>
      <c r="C164" s="482" t="s">
        <v>1236</v>
      </c>
      <c r="D164" s="2575"/>
      <c r="E164" s="2317"/>
      <c r="F164" s="2496"/>
      <c r="G164" s="2540"/>
      <c r="H164" s="1613"/>
      <c r="I164" s="764" t="s">
        <v>1235</v>
      </c>
      <c r="J164" s="684"/>
      <c r="K164" s="1613"/>
      <c r="L164" s="327"/>
      <c r="M164" s="454"/>
      <c r="N164" s="447"/>
      <c r="O164" s="1737"/>
      <c r="P164" s="1737"/>
      <c r="AH164" s="1744">
        <v>0</v>
      </c>
    </row>
    <row s="5387" customFormat="1" customHeight="1" ht="0.75" hidden="1">
      <c r="A165" s="1893"/>
      <c r="B165" s="1893"/>
      <c r="C165" s="482" t="s">
        <v>1245</v>
      </c>
      <c r="D165" s="2575"/>
      <c r="E165" s="2317"/>
      <c r="F165" s="2496"/>
      <c r="G165" s="513"/>
      <c r="H165" s="1613"/>
      <c r="I165" s="764"/>
      <c r="J165" s="684"/>
      <c r="K165" s="1613"/>
      <c r="L165" s="327"/>
      <c r="M165" s="454"/>
      <c r="N165" s="447"/>
      <c r="O165" s="1737"/>
      <c r="P165" s="1737"/>
      <c r="AH165" s="1744">
        <v>0</v>
      </c>
    </row>
    <row s="5387" customFormat="1" customHeight="1" ht="18.75" hidden="1">
      <c r="A166" s="1893" t="s">
        <v>216</v>
      </c>
      <c r="B166" s="1893" t="s">
        <v>217</v>
      </c>
      <c r="C166" s="482"/>
      <c r="D166" s="2575"/>
      <c r="E166" s="2317"/>
      <c r="F166" s="2496" t="str">
        <f>INDEX(PT_DIFFERENTIATION_VTAR,MATCH(A166,PT_DIFFERENTIATION_VTAR_ID,0))</f>
        <v>Тарифы на услуги по передаче теплоносителя</v>
      </c>
      <c r="G166" s="2540" t="str">
        <f>INDEX(PT_DIFFERENTIATION_NTAR,MATCH(B166,PT_DIFFERENTIATION_NTAR_ID,0))</f>
        <v/>
      </c>
      <c r="H166" s="1975"/>
      <c r="I166" s="1852"/>
      <c r="J166" s="1886"/>
      <c r="K166" s="1891"/>
      <c r="L166" s="1975" t="s">
        <v>399</v>
      </c>
      <c r="M166" s="454"/>
      <c r="N166" s="447"/>
      <c r="O166" s="1737"/>
      <c r="P166" s="1737"/>
      <c r="AH166" s="1744">
        <v>0</v>
      </c>
    </row>
    <row s="5387" customFormat="1" customHeight="1" ht="18.75" hidden="1">
      <c r="A167" s="1893"/>
      <c r="B167" s="1893"/>
      <c r="C167" s="482" t="s">
        <v>1236</v>
      </c>
      <c r="D167" s="2575"/>
      <c r="E167" s="2317"/>
      <c r="F167" s="2496"/>
      <c r="G167" s="2540"/>
      <c r="H167" s="1613"/>
      <c r="I167" s="764" t="s">
        <v>1235</v>
      </c>
      <c r="J167" s="684"/>
      <c r="K167" s="1613"/>
      <c r="L167" s="327"/>
      <c r="M167" s="454"/>
      <c r="N167" s="447"/>
      <c r="O167" s="1737"/>
      <c r="P167" s="1737"/>
      <c r="AH167" s="1744">
        <v>0</v>
      </c>
    </row>
    <row s="5387" customFormat="1" customHeight="1" ht="0.75" hidden="1">
      <c r="A168" s="1893"/>
      <c r="B168" s="1893"/>
      <c r="C168" s="482" t="s">
        <v>1245</v>
      </c>
      <c r="D168" s="2575"/>
      <c r="E168" s="2317"/>
      <c r="F168" s="2496"/>
      <c r="G168" s="513"/>
      <c r="H168" s="1613"/>
      <c r="I168" s="764"/>
      <c r="J168" s="684"/>
      <c r="K168" s="1613"/>
      <c r="L168" s="327"/>
      <c r="M168" s="454"/>
      <c r="N168" s="447"/>
      <c r="O168" s="1737"/>
      <c r="P168" s="1737"/>
      <c r="AH168" s="1744">
        <v>0</v>
      </c>
    </row>
    <row s="5387" customFormat="1" customHeight="1" ht="18.75" hidden="1">
      <c r="A169" s="1893" t="s">
        <v>222</v>
      </c>
      <c r="B169" s="1893" t="s">
        <v>223</v>
      </c>
      <c r="C169" s="482"/>
      <c r="D169" s="2575"/>
      <c r="E169" s="2317"/>
      <c r="F169" s="2496"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540" t="str">
        <f>INDEX(PT_DIFFERENTIATION_NTAR,MATCH(B169,PT_DIFFERENTIATION_NTAR_ID,0))</f>
        <v/>
      </c>
      <c r="H169" s="1975"/>
      <c r="I169" s="1852"/>
      <c r="J169" s="1886"/>
      <c r="K169" s="1891"/>
      <c r="L169" s="1975" t="s">
        <v>399</v>
      </c>
      <c r="M169" s="454"/>
      <c r="N169" s="447"/>
      <c r="O169" s="1737"/>
      <c r="P169" s="1737"/>
      <c r="AH169" s="1744">
        <v>0</v>
      </c>
    </row>
    <row s="5387" customFormat="1" customHeight="1" ht="18.75" hidden="1">
      <c r="A170" s="1893"/>
      <c r="B170" s="1893"/>
      <c r="C170" s="482" t="s">
        <v>1236</v>
      </c>
      <c r="D170" s="2575"/>
      <c r="E170" s="2317"/>
      <c r="F170" s="2496"/>
      <c r="G170" s="2540"/>
      <c r="H170" s="1613"/>
      <c r="I170" s="764" t="s">
        <v>1235</v>
      </c>
      <c r="J170" s="684"/>
      <c r="K170" s="1613"/>
      <c r="L170" s="327"/>
      <c r="M170" s="454"/>
      <c r="N170" s="447"/>
      <c r="O170" s="1737"/>
      <c r="P170" s="1737"/>
      <c r="AH170" s="1744">
        <v>0</v>
      </c>
    </row>
    <row s="5387" customFormat="1" customHeight="1" ht="0.75" hidden="1">
      <c r="A171" s="1893"/>
      <c r="B171" s="1893"/>
      <c r="C171" s="482" t="s">
        <v>1245</v>
      </c>
      <c r="D171" s="2575"/>
      <c r="E171" s="2317"/>
      <c r="F171" s="2496"/>
      <c r="G171" s="513"/>
      <c r="H171" s="1613"/>
      <c r="I171" s="764"/>
      <c r="J171" s="684"/>
      <c r="K171" s="1613"/>
      <c r="L171" s="327"/>
      <c r="M171" s="454"/>
      <c r="N171" s="447"/>
      <c r="O171" s="1737"/>
      <c r="P171" s="1737"/>
      <c r="AH171" s="1744">
        <v>0</v>
      </c>
    </row>
    <row s="5387" customFormat="1" customHeight="1" ht="18.75" hidden="1">
      <c r="A172" s="1893" t="s">
        <v>228</v>
      </c>
      <c r="B172" s="1893" t="s">
        <v>229</v>
      </c>
      <c r="C172" s="482"/>
      <c r="D172" s="2575"/>
      <c r="E172" s="2317"/>
      <c r="F172" s="2496" t="str">
        <f>INDEX(PT_DIFFERENTIATION_VTAR,MATCH(A172,PT_DIFFERENTIATION_VTAR_ID,0))</f>
        <v>Плата за подключение (технологическое присоединение) к системе теплоснабжения</v>
      </c>
      <c r="G172" s="2540" t="str">
        <f>INDEX(PT_DIFFERENTIATION_NTAR,MATCH(B172,PT_DIFFERENTIATION_NTAR_ID,0))</f>
        <v/>
      </c>
      <c r="H172" s="1975"/>
      <c r="I172" s="1852"/>
      <c r="J172" s="1886"/>
      <c r="K172" s="1891"/>
      <c r="L172" s="1975" t="s">
        <v>399</v>
      </c>
      <c r="M172" s="454"/>
      <c r="N172" s="447"/>
      <c r="O172" s="1737"/>
      <c r="P172" s="1737"/>
      <c r="AH172" s="1744">
        <v>0</v>
      </c>
    </row>
    <row s="5387" customFormat="1" customHeight="1" ht="18.75" hidden="1">
      <c r="A173" s="1893"/>
      <c r="B173" s="1893"/>
      <c r="C173" s="482" t="s">
        <v>1236</v>
      </c>
      <c r="D173" s="2575"/>
      <c r="E173" s="2317"/>
      <c r="F173" s="2496"/>
      <c r="G173" s="2540"/>
      <c r="H173" s="1613"/>
      <c r="I173" s="764" t="s">
        <v>1235</v>
      </c>
      <c r="J173" s="684"/>
      <c r="K173" s="1613"/>
      <c r="L173" s="327"/>
      <c r="M173" s="454"/>
      <c r="N173" s="447"/>
      <c r="O173" s="1737"/>
      <c r="P173" s="1737"/>
      <c r="AH173" s="1744">
        <v>0</v>
      </c>
    </row>
    <row s="5387" customFormat="1" customHeight="1" ht="0.75" hidden="1">
      <c r="A174" s="1893"/>
      <c r="B174" s="1893"/>
      <c r="C174" s="482" t="s">
        <v>1245</v>
      </c>
      <c r="D174" s="2575"/>
      <c r="E174" s="2317"/>
      <c r="F174" s="2496"/>
      <c r="G174" s="513"/>
      <c r="H174" s="1613"/>
      <c r="I174" s="764"/>
      <c r="J174" s="684"/>
      <c r="K174" s="1613"/>
      <c r="L174" s="327"/>
      <c r="M174" s="454"/>
      <c r="N174" s="447"/>
      <c r="O174" s="1737"/>
      <c r="P174" s="1737"/>
      <c r="AH174" s="1744">
        <v>0</v>
      </c>
    </row>
    <row s="5387" customFormat="1" customHeight="1" ht="18.75" hidden="1">
      <c r="A175" s="1893" t="s">
        <v>234</v>
      </c>
      <c r="B175" s="1893" t="s">
        <v>235</v>
      </c>
      <c r="C175" s="482"/>
      <c r="D175" s="2575"/>
      <c r="E175" s="2317"/>
      <c r="F175" s="2496" t="str">
        <f>INDEX(PT_DIFFERENTIATION_VTAR,MATCH(A175,PT_DIFFERENTIATION_VTAR_ID,0))</f>
        <v>Плата за подключение (технологическое присоединение) к системе теплоснабжения (индивидуальная)</v>
      </c>
      <c r="G175" s="2540" t="str">
        <f>INDEX(PT_DIFFERENTIATION_NTAR,MATCH(B175,PT_DIFFERENTIATION_NTAR_ID,0))</f>
        <v/>
      </c>
      <c r="H175" s="2102"/>
      <c r="I175" s="1852"/>
      <c r="J175" s="1886"/>
      <c r="K175" s="1891"/>
      <c r="L175" s="2102" t="s">
        <v>399</v>
      </c>
      <c r="M175" s="454"/>
      <c r="N175" s="447"/>
      <c r="O175" s="1737"/>
      <c r="P175" s="1737"/>
      <c r="AH175" s="1744">
        <v>0</v>
      </c>
    </row>
    <row s="5387" customFormat="1" customHeight="1" ht="18.75" hidden="1">
      <c r="A176" s="1893"/>
      <c r="B176" s="1893"/>
      <c r="C176" s="482" t="s">
        <v>1236</v>
      </c>
      <c r="D176" s="2575"/>
      <c r="E176" s="2317"/>
      <c r="F176" s="2496"/>
      <c r="G176" s="2540"/>
      <c r="H176" s="1613"/>
      <c r="I176" s="764" t="s">
        <v>1235</v>
      </c>
      <c r="J176" s="684"/>
      <c r="K176" s="1613"/>
      <c r="L176" s="327"/>
      <c r="M176" s="454"/>
      <c r="N176" s="447"/>
      <c r="O176" s="1737"/>
      <c r="P176" s="1737"/>
      <c r="AH176" s="1744">
        <v>0</v>
      </c>
    </row>
    <row s="5387" customFormat="1" customHeight="1" ht="0.75" hidden="1">
      <c r="A177" s="1893"/>
      <c r="B177" s="1893"/>
      <c r="C177" s="482" t="s">
        <v>1245</v>
      </c>
      <c r="D177" s="2575"/>
      <c r="E177" s="2317"/>
      <c r="F177" s="2496"/>
      <c r="G177" s="513"/>
      <c r="H177" s="1613"/>
      <c r="I177" s="764"/>
      <c r="J177" s="684"/>
      <c r="K177" s="1613"/>
      <c r="L177" s="327"/>
      <c r="M177" s="454"/>
      <c r="N177" s="447"/>
      <c r="O177" s="1737"/>
      <c r="P177" s="1737"/>
      <c r="AH177" s="1744">
        <v>0</v>
      </c>
    </row>
    <row s="5387" customFormat="1" customHeight="1" ht="18.75" hidden="1">
      <c r="A178" s="1893" t="s">
        <v>254</v>
      </c>
      <c r="B178" s="1893" t="s">
        <v>255</v>
      </c>
      <c r="C178" s="482"/>
      <c r="D178" s="2575"/>
      <c r="E178" s="2317"/>
      <c r="F178" s="2496" t="str">
        <f>INDEX(PT_DIFFERENTIATION_VTAR,MATCH(A178,PT_DIFFERENTIATION_VTAR_ID,0))</f>
        <v>Тариф на питьевую воду (питьевое водоснабжение)</v>
      </c>
      <c r="G178" s="2540" t="str">
        <f>INDEX(PT_DIFFERENTIATION_NTAR,MATCH(B178,PT_DIFFERENTIATION_NTAR_ID,0))</f>
        <v/>
      </c>
      <c r="H178" s="1975"/>
      <c r="I178" s="1852"/>
      <c r="J178" s="1886"/>
      <c r="K178" s="1891"/>
      <c r="L178" s="1975" t="s">
        <v>399</v>
      </c>
      <c r="M178" s="454"/>
      <c r="N178" s="447"/>
      <c r="O178" s="1737"/>
      <c r="P178" s="1737"/>
      <c r="AH178" s="1744">
        <v>0</v>
      </c>
    </row>
    <row s="5387" customFormat="1" customHeight="1" ht="18.75" hidden="1">
      <c r="A179" s="1893"/>
      <c r="B179" s="1893"/>
      <c r="C179" s="482" t="s">
        <v>1236</v>
      </c>
      <c r="D179" s="2575"/>
      <c r="E179" s="2317"/>
      <c r="F179" s="2496"/>
      <c r="G179" s="2540"/>
      <c r="H179" s="1613"/>
      <c r="I179" s="764" t="s">
        <v>1235</v>
      </c>
      <c r="J179" s="684"/>
      <c r="K179" s="1613"/>
      <c r="L179" s="327"/>
      <c r="M179" s="454"/>
      <c r="N179" s="447"/>
      <c r="O179" s="1737"/>
      <c r="P179" s="1737"/>
      <c r="AH179" s="1744">
        <v>0</v>
      </c>
    </row>
    <row s="5387" customFormat="1" customHeight="1" ht="0.75" hidden="1">
      <c r="A180" s="1893"/>
      <c r="B180" s="1893"/>
      <c r="C180" s="482" t="s">
        <v>1245</v>
      </c>
      <c r="D180" s="2575"/>
      <c r="E180" s="2317"/>
      <c r="F180" s="2496"/>
      <c r="G180" s="513"/>
      <c r="H180" s="1613"/>
      <c r="I180" s="764"/>
      <c r="J180" s="684"/>
      <c r="K180" s="1613"/>
      <c r="L180" s="327"/>
      <c r="M180" s="454"/>
      <c r="N180" s="447"/>
      <c r="O180" s="1737"/>
      <c r="P180" s="1737"/>
      <c r="AH180" s="1744">
        <v>0</v>
      </c>
    </row>
    <row s="5387" customFormat="1" customHeight="1" ht="18.75" hidden="1">
      <c r="A181" s="1893" t="s">
        <v>259</v>
      </c>
      <c r="B181" s="1893" t="s">
        <v>260</v>
      </c>
      <c r="C181" s="482"/>
      <c r="D181" s="2575"/>
      <c r="E181" s="2317"/>
      <c r="F181" s="2496" t="str">
        <f>INDEX(PT_DIFFERENTIATION_VTAR,MATCH(A181,PT_DIFFERENTIATION_VTAR_ID,0))</f>
        <v>Тариф на техническую воду</v>
      </c>
      <c r="G181" s="2540" t="str">
        <f>INDEX(PT_DIFFERENTIATION_NTAR,MATCH(B181,PT_DIFFERENTIATION_NTAR_ID,0))</f>
        <v/>
      </c>
      <c r="H181" s="1975"/>
      <c r="I181" s="1852"/>
      <c r="J181" s="1886"/>
      <c r="K181" s="1891"/>
      <c r="L181" s="1975" t="s">
        <v>399</v>
      </c>
      <c r="M181" s="454"/>
      <c r="N181" s="447"/>
      <c r="O181" s="1737"/>
      <c r="P181" s="1737"/>
      <c r="AH181" s="1744">
        <v>0</v>
      </c>
    </row>
    <row s="5387" customFormat="1" customHeight="1" ht="18.75" hidden="1">
      <c r="A182" s="1893"/>
      <c r="B182" s="1893"/>
      <c r="C182" s="482" t="s">
        <v>1236</v>
      </c>
      <c r="D182" s="2575"/>
      <c r="E182" s="2317"/>
      <c r="F182" s="2496"/>
      <c r="G182" s="2540"/>
      <c r="H182" s="1613"/>
      <c r="I182" s="764" t="s">
        <v>1235</v>
      </c>
      <c r="J182" s="684"/>
      <c r="K182" s="1613"/>
      <c r="L182" s="327"/>
      <c r="M182" s="454"/>
      <c r="N182" s="447"/>
      <c r="O182" s="1737"/>
      <c r="P182" s="1737"/>
      <c r="AH182" s="1744">
        <v>0</v>
      </c>
    </row>
    <row s="5387" customFormat="1" customHeight="1" ht="0.75" hidden="1">
      <c r="A183" s="1893"/>
      <c r="B183" s="1893"/>
      <c r="C183" s="482" t="s">
        <v>1245</v>
      </c>
      <c r="D183" s="2575"/>
      <c r="E183" s="2317"/>
      <c r="F183" s="2496"/>
      <c r="G183" s="513"/>
      <c r="H183" s="1613"/>
      <c r="I183" s="764"/>
      <c r="J183" s="684"/>
      <c r="K183" s="1613"/>
      <c r="L183" s="327"/>
      <c r="M183" s="454"/>
      <c r="N183" s="447"/>
      <c r="O183" s="1737"/>
      <c r="P183" s="1737"/>
      <c r="AH183" s="1744">
        <v>0</v>
      </c>
    </row>
    <row s="5387" customFormat="1" customHeight="1" ht="18.75" hidden="1">
      <c r="A184" s="1893" t="s">
        <v>264</v>
      </c>
      <c r="B184" s="1893" t="s">
        <v>265</v>
      </c>
      <c r="C184" s="482"/>
      <c r="D184" s="2575"/>
      <c r="E184" s="2317"/>
      <c r="F184" s="2496" t="str">
        <f>INDEX(PT_DIFFERENTIATION_VTAR,MATCH(A184,PT_DIFFERENTIATION_VTAR_ID,0))</f>
        <v>Тариф на транспортировку воды</v>
      </c>
      <c r="G184" s="2540" t="str">
        <f>INDEX(PT_DIFFERENTIATION_NTAR,MATCH(B184,PT_DIFFERENTIATION_NTAR_ID,0))</f>
        <v/>
      </c>
      <c r="H184" s="1975"/>
      <c r="I184" s="1852"/>
      <c r="J184" s="1886"/>
      <c r="K184" s="1891"/>
      <c r="L184" s="1975" t="s">
        <v>399</v>
      </c>
      <c r="M184" s="454"/>
      <c r="N184" s="447"/>
      <c r="O184" s="1737"/>
      <c r="P184" s="1737"/>
      <c r="AH184" s="1744">
        <v>0</v>
      </c>
    </row>
    <row s="5387" customFormat="1" customHeight="1" ht="18.75" hidden="1">
      <c r="A185" s="1893"/>
      <c r="B185" s="1893"/>
      <c r="C185" s="482" t="s">
        <v>1236</v>
      </c>
      <c r="D185" s="2575"/>
      <c r="E185" s="2317"/>
      <c r="F185" s="2496"/>
      <c r="G185" s="2540"/>
      <c r="H185" s="1613"/>
      <c r="I185" s="764" t="s">
        <v>1235</v>
      </c>
      <c r="J185" s="684"/>
      <c r="K185" s="1613"/>
      <c r="L185" s="327"/>
      <c r="M185" s="454"/>
      <c r="N185" s="447"/>
      <c r="O185" s="1737"/>
      <c r="P185" s="1737"/>
      <c r="AH185" s="1744">
        <v>0</v>
      </c>
    </row>
    <row s="5387" customFormat="1" customHeight="1" ht="0.75" hidden="1">
      <c r="A186" s="1893"/>
      <c r="B186" s="1893"/>
      <c r="C186" s="482" t="s">
        <v>1245</v>
      </c>
      <c r="D186" s="2575"/>
      <c r="E186" s="2317"/>
      <c r="F186" s="2496"/>
      <c r="G186" s="513"/>
      <c r="H186" s="1613"/>
      <c r="I186" s="764"/>
      <c r="J186" s="684"/>
      <c r="K186" s="1613"/>
      <c r="L186" s="327"/>
      <c r="M186" s="454"/>
      <c r="N186" s="447"/>
      <c r="O186" s="1737"/>
      <c r="P186" s="1737"/>
      <c r="AH186" s="1744">
        <v>0</v>
      </c>
    </row>
    <row s="5387" customFormat="1" customHeight="1" ht="18.75" hidden="1">
      <c r="A187" s="1893" t="s">
        <v>269</v>
      </c>
      <c r="B187" s="1893" t="s">
        <v>270</v>
      </c>
      <c r="C187" s="482"/>
      <c r="D187" s="2575"/>
      <c r="E187" s="2317"/>
      <c r="F187" s="2496" t="str">
        <f>INDEX(PT_DIFFERENTIATION_VTAR,MATCH(A187,PT_DIFFERENTIATION_VTAR_ID,0))</f>
        <v>Тариф на подвоз воды</v>
      </c>
      <c r="G187" s="2540" t="str">
        <f>INDEX(PT_DIFFERENTIATION_NTAR,MATCH(B187,PT_DIFFERENTIATION_NTAR_ID,0))</f>
        <v/>
      </c>
      <c r="H187" s="1975"/>
      <c r="I187" s="1852"/>
      <c r="J187" s="1886"/>
      <c r="K187" s="1891"/>
      <c r="L187" s="1975" t="s">
        <v>399</v>
      </c>
      <c r="M187" s="454"/>
      <c r="N187" s="447"/>
      <c r="O187" s="1737"/>
      <c r="P187" s="1737"/>
      <c r="AH187" s="1744">
        <v>0</v>
      </c>
    </row>
    <row s="5387" customFormat="1" customHeight="1" ht="18.75" hidden="1">
      <c r="A188" s="1893"/>
      <c r="B188" s="1893"/>
      <c r="C188" s="482" t="s">
        <v>1236</v>
      </c>
      <c r="D188" s="2575"/>
      <c r="E188" s="2317"/>
      <c r="F188" s="2496"/>
      <c r="G188" s="2540"/>
      <c r="H188" s="1613"/>
      <c r="I188" s="764" t="s">
        <v>1235</v>
      </c>
      <c r="J188" s="684"/>
      <c r="K188" s="1613"/>
      <c r="L188" s="327"/>
      <c r="M188" s="454"/>
      <c r="N188" s="447"/>
      <c r="O188" s="1737"/>
      <c r="P188" s="1737"/>
      <c r="AH188" s="1744">
        <v>0</v>
      </c>
    </row>
    <row s="5387" customFormat="1" customHeight="1" ht="0.75" hidden="1">
      <c r="A189" s="1893"/>
      <c r="B189" s="1893"/>
      <c r="C189" s="482" t="s">
        <v>1245</v>
      </c>
      <c r="D189" s="2575"/>
      <c r="E189" s="2317"/>
      <c r="F189" s="2496"/>
      <c r="G189" s="513"/>
      <c r="H189" s="1613"/>
      <c r="I189" s="764"/>
      <c r="J189" s="684"/>
      <c r="K189" s="1613"/>
      <c r="L189" s="327"/>
      <c r="M189" s="454"/>
      <c r="N189" s="447"/>
      <c r="O189" s="1737"/>
      <c r="P189" s="1737"/>
      <c r="AH189" s="1744">
        <v>0</v>
      </c>
    </row>
    <row s="5387" customFormat="1" customHeight="1" ht="18.75" hidden="1">
      <c r="A190" s="1893" t="s">
        <v>274</v>
      </c>
      <c r="B190" s="1893" t="s">
        <v>275</v>
      </c>
      <c r="C190" s="482"/>
      <c r="D190" s="2575"/>
      <c r="E190" s="2317"/>
      <c r="F190" s="2496"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540" t="str">
        <f>INDEX(PT_DIFFERENTIATION_NTAR,MATCH(B190,PT_DIFFERENTIATION_NTAR_ID,0))</f>
        <v/>
      </c>
      <c r="H190" s="1975"/>
      <c r="I190" s="1852"/>
      <c r="J190" s="1886"/>
      <c r="K190" s="1891"/>
      <c r="L190" s="1975" t="s">
        <v>399</v>
      </c>
      <c r="M190" s="454"/>
      <c r="N190" s="447"/>
      <c r="O190" s="1737"/>
      <c r="P190" s="1737"/>
      <c r="AH190" s="1744">
        <v>0</v>
      </c>
    </row>
    <row s="5387" customFormat="1" customHeight="1" ht="18.75" hidden="1">
      <c r="A191" s="1893"/>
      <c r="B191" s="1893"/>
      <c r="C191" s="482" t="s">
        <v>1236</v>
      </c>
      <c r="D191" s="2575"/>
      <c r="E191" s="2317"/>
      <c r="F191" s="2496"/>
      <c r="G191" s="2540"/>
      <c r="H191" s="1613"/>
      <c r="I191" s="764" t="s">
        <v>1235</v>
      </c>
      <c r="J191" s="684"/>
      <c r="K191" s="1613"/>
      <c r="L191" s="327"/>
      <c r="M191" s="454"/>
      <c r="N191" s="447"/>
      <c r="O191" s="1737"/>
      <c r="P191" s="1737"/>
      <c r="AH191" s="1744">
        <v>0</v>
      </c>
    </row>
    <row s="5387" customFormat="1" customHeight="1" ht="0.75" hidden="1">
      <c r="A192" s="1893"/>
      <c r="B192" s="1893"/>
      <c r="C192" s="482" t="s">
        <v>1245</v>
      </c>
      <c r="D192" s="2575"/>
      <c r="E192" s="2317"/>
      <c r="F192" s="2496"/>
      <c r="G192" s="513"/>
      <c r="H192" s="1613"/>
      <c r="I192" s="764"/>
      <c r="J192" s="684"/>
      <c r="K192" s="1613"/>
      <c r="L192" s="327"/>
      <c r="M192" s="454"/>
      <c r="N192" s="447"/>
      <c r="O192" s="1737"/>
      <c r="P192" s="1737"/>
      <c r="AH192" s="1744">
        <v>0</v>
      </c>
    </row>
    <row s="5387" customFormat="1" customHeight="1" ht="18.75" hidden="1">
      <c r="A193" s="1893" t="s">
        <v>279</v>
      </c>
      <c r="B193" s="1893" t="s">
        <v>280</v>
      </c>
      <c r="C193" s="482"/>
      <c r="D193" s="2575"/>
      <c r="E193" s="2317"/>
      <c r="F193" s="2496" t="str">
        <f>INDEX(PT_DIFFERENTIATION_VTAR,MATCH(A193,PT_DIFFERENTIATION_VTAR_ID,0))</f>
        <v>Тариф на горячую воду (горячее водоснабжение)</v>
      </c>
      <c r="G193" s="2540" t="str">
        <f>INDEX(PT_DIFFERENTIATION_NTAR,MATCH(B193,PT_DIFFERENTIATION_NTAR_ID,0))</f>
        <v/>
      </c>
      <c r="H193" s="1975"/>
      <c r="I193" s="1852"/>
      <c r="J193" s="1886"/>
      <c r="K193" s="1891"/>
      <c r="L193" s="1975" t="s">
        <v>399</v>
      </c>
      <c r="M193" s="454"/>
      <c r="N193" s="447"/>
      <c r="O193" s="1737"/>
      <c r="P193" s="1737"/>
      <c r="AH193" s="1744">
        <v>0</v>
      </c>
    </row>
    <row s="5387" customFormat="1" customHeight="1" ht="18.75" hidden="1">
      <c r="A194" s="1893"/>
      <c r="B194" s="1893"/>
      <c r="C194" s="482" t="s">
        <v>1236</v>
      </c>
      <c r="D194" s="2575"/>
      <c r="E194" s="2317"/>
      <c r="F194" s="2496"/>
      <c r="G194" s="2540"/>
      <c r="H194" s="1613"/>
      <c r="I194" s="764" t="s">
        <v>1235</v>
      </c>
      <c r="J194" s="684"/>
      <c r="K194" s="1613"/>
      <c r="L194" s="327"/>
      <c r="M194" s="454"/>
      <c r="N194" s="447"/>
      <c r="O194" s="1737"/>
      <c r="P194" s="1737"/>
      <c r="AH194" s="1744">
        <v>0</v>
      </c>
    </row>
    <row s="5387" customFormat="1" customHeight="1" ht="0.75" hidden="1">
      <c r="A195" s="1893"/>
      <c r="B195" s="1893"/>
      <c r="C195" s="482" t="s">
        <v>1245</v>
      </c>
      <c r="D195" s="2575"/>
      <c r="E195" s="2317"/>
      <c r="F195" s="2496"/>
      <c r="G195" s="513"/>
      <c r="H195" s="1613"/>
      <c r="I195" s="764"/>
      <c r="J195" s="684"/>
      <c r="K195" s="1613"/>
      <c r="L195" s="327"/>
      <c r="M195" s="454"/>
      <c r="N195" s="447"/>
      <c r="O195" s="1737"/>
      <c r="P195" s="1737"/>
      <c r="AH195" s="1744">
        <v>0</v>
      </c>
    </row>
    <row s="5387" customFormat="1" customHeight="1" ht="18.75" hidden="1">
      <c r="A196" s="1893" t="s">
        <v>284</v>
      </c>
      <c r="B196" s="1893" t="s">
        <v>285</v>
      </c>
      <c r="C196" s="482"/>
      <c r="D196" s="2575"/>
      <c r="E196" s="2317"/>
      <c r="F196" s="2496" t="str">
        <f>INDEX(PT_DIFFERENTIATION_VTAR,MATCH(A196,PT_DIFFERENTIATION_VTAR_ID,0))</f>
        <v>Тариф на транспортировку горячей воды</v>
      </c>
      <c r="G196" s="2540" t="str">
        <f>INDEX(PT_DIFFERENTIATION_NTAR,MATCH(B196,PT_DIFFERENTIATION_NTAR_ID,0))</f>
        <v/>
      </c>
      <c r="H196" s="1975"/>
      <c r="I196" s="1852"/>
      <c r="J196" s="1886"/>
      <c r="K196" s="1891"/>
      <c r="L196" s="1975" t="s">
        <v>399</v>
      </c>
      <c r="M196" s="454"/>
      <c r="N196" s="447"/>
      <c r="O196" s="1737"/>
      <c r="P196" s="1737"/>
      <c r="AH196" s="1744">
        <v>0</v>
      </c>
    </row>
    <row s="5387" customFormat="1" customHeight="1" ht="18.75" hidden="1">
      <c r="A197" s="1893"/>
      <c r="B197" s="1893"/>
      <c r="C197" s="482" t="s">
        <v>1236</v>
      </c>
      <c r="D197" s="2575"/>
      <c r="E197" s="2317"/>
      <c r="F197" s="2496"/>
      <c r="G197" s="2540"/>
      <c r="H197" s="1613"/>
      <c r="I197" s="764" t="s">
        <v>1235</v>
      </c>
      <c r="J197" s="684"/>
      <c r="K197" s="1613"/>
      <c r="L197" s="327"/>
      <c r="M197" s="454"/>
      <c r="N197" s="447"/>
      <c r="O197" s="1737"/>
      <c r="P197" s="1737"/>
      <c r="AH197" s="1744">
        <v>0</v>
      </c>
    </row>
    <row s="5387" customFormat="1" customHeight="1" ht="0.75" hidden="1">
      <c r="A198" s="1893"/>
      <c r="B198" s="1893"/>
      <c r="C198" s="482" t="s">
        <v>1245</v>
      </c>
      <c r="D198" s="2575"/>
      <c r="E198" s="2317"/>
      <c r="F198" s="2496"/>
      <c r="G198" s="513"/>
      <c r="H198" s="1613"/>
      <c r="I198" s="764"/>
      <c r="J198" s="684"/>
      <c r="K198" s="1613"/>
      <c r="L198" s="327"/>
      <c r="M198" s="454"/>
      <c r="N198" s="447"/>
      <c r="O198" s="1737"/>
      <c r="P198" s="1737"/>
      <c r="AH198" s="1744">
        <v>0</v>
      </c>
    </row>
    <row s="5387" customFormat="1" customHeight="1" ht="18.75" hidden="1">
      <c r="A199" s="1893" t="s">
        <v>289</v>
      </c>
      <c r="B199" s="1893" t="s">
        <v>290</v>
      </c>
      <c r="C199" s="482"/>
      <c r="D199" s="2575"/>
      <c r="E199" s="2317"/>
      <c r="F199" s="2496" t="str">
        <f>INDEX(PT_DIFFERENTIATION_VTAR,MATCH(A199,PT_DIFFERENTIATION_VTAR_ID,0))</f>
        <v>Тариф на подключение (технологическое присоединение) к централизованной системе горячего водоснабжения</v>
      </c>
      <c r="G199" s="2540" t="str">
        <f>INDEX(PT_DIFFERENTIATION_NTAR,MATCH(B199,PT_DIFFERENTIATION_NTAR_ID,0))</f>
        <v/>
      </c>
      <c r="H199" s="1975"/>
      <c r="I199" s="1852"/>
      <c r="J199" s="1886"/>
      <c r="K199" s="1891"/>
      <c r="L199" s="1975" t="s">
        <v>399</v>
      </c>
      <c r="M199" s="454"/>
      <c r="N199" s="447"/>
      <c r="O199" s="1737"/>
      <c r="P199" s="1737"/>
      <c r="AH199" s="1744">
        <v>0</v>
      </c>
    </row>
    <row s="5387" customFormat="1" customHeight="1" ht="18.75" hidden="1">
      <c r="A200" s="1893"/>
      <c r="B200" s="1893"/>
      <c r="C200" s="482" t="s">
        <v>1236</v>
      </c>
      <c r="D200" s="2575"/>
      <c r="E200" s="2317"/>
      <c r="F200" s="2496"/>
      <c r="G200" s="2540"/>
      <c r="H200" s="1613"/>
      <c r="I200" s="764" t="s">
        <v>1235</v>
      </c>
      <c r="J200" s="684"/>
      <c r="K200" s="1613"/>
      <c r="L200" s="327"/>
      <c r="M200" s="454"/>
      <c r="N200" s="447"/>
      <c r="O200" s="1737"/>
      <c r="P200" s="1737"/>
      <c r="AH200" s="1744">
        <v>0</v>
      </c>
    </row>
    <row s="5387" customFormat="1" customHeight="1" ht="0.75" hidden="1">
      <c r="A201" s="1893"/>
      <c r="B201" s="1893"/>
      <c r="C201" s="482" t="s">
        <v>1245</v>
      </c>
      <c r="D201" s="2575"/>
      <c r="E201" s="2317"/>
      <c r="F201" s="2496"/>
      <c r="G201" s="513"/>
      <c r="H201" s="1613"/>
      <c r="I201" s="764"/>
      <c r="J201" s="684"/>
      <c r="K201" s="1613"/>
      <c r="L201" s="327"/>
      <c r="M201" s="454"/>
      <c r="N201" s="447"/>
      <c r="O201" s="1737"/>
      <c r="P201" s="1737"/>
      <c r="AH201" s="1744">
        <v>0</v>
      </c>
    </row>
    <row s="5387" customFormat="1" customHeight="1" ht="26.702181498209637">
      <c r="A202" s="1893" t="s">
        <v>296</v>
      </c>
      <c r="B202" s="1893" t="s">
        <v>297</v>
      </c>
      <c r="C202" s="482"/>
      <c r="D202" s="2575"/>
      <c r="E202" s="2317"/>
      <c r="F202" s="2496" t="str">
        <f>INDEX(PT_DIFFERENTIATION_VTAR,MATCH(A202,PT_DIFFERENTIATION_VTAR_ID,0))</f>
        <v>Тариф на водоотведение</v>
      </c>
      <c r="G202" s="2540" t="str">
        <f>INDEX(PT_DIFFERENTIATION_NTAR,MATCH(B202,PT_DIFFERENTIATION_NTAR_ID,0))</f>
        <v>Тариф на водоотведение</v>
      </c>
      <c r="H202" s="1975"/>
      <c r="I202" s="9674">
        <v>45658.69325231481</v>
      </c>
      <c r="J202" s="9675">
        <v>46022.69420138889</v>
      </c>
      <c r="K202" s="1891">
        <v>8245.12</v>
      </c>
      <c r="L202" s="1975" t="s">
        <v>399</v>
      </c>
      <c r="M202" s="454"/>
      <c r="N202" s="447"/>
      <c r="O202" s="1737"/>
      <c r="P202" s="1737"/>
      <c r="AH202" s="1744">
        <v>0</v>
      </c>
    </row>
    <row s="6591" customFormat="1" customHeight="1" ht="26.702181498209637">
      <c r="A203" s="6889"/>
      <c r="B203" s="6889"/>
      <c r="C203" s="9679"/>
      <c r="D203" s="9680"/>
      <c r="E203" s="9681"/>
      <c r="F203" s="9681"/>
      <c r="G203" s="9681"/>
      <c r="H203" s="6701" t="s">
        <v>104</v>
      </c>
      <c r="I203" s="9674">
        <v>46023.694444444445</v>
      </c>
      <c r="J203" s="9675">
        <v>46387.694548611114</v>
      </c>
      <c r="K203" s="9682">
        <v>8245.12</v>
      </c>
      <c r="L203" s="6703" t="s">
        <v>399</v>
      </c>
      <c r="M203" s="9683"/>
      <c r="N203" s="9684"/>
      <c r="O203" s="6785"/>
      <c r="P203" s="6785"/>
      <c r="Q203" s="6591"/>
      <c r="R203" s="6591"/>
      <c r="S203" s="6591"/>
      <c r="T203" s="6591"/>
      <c r="U203" s="6591"/>
      <c r="V203" s="6591"/>
      <c r="W203" s="6591"/>
      <c r="X203" s="6591"/>
      <c r="Y203" s="6591"/>
      <c r="Z203" s="6591"/>
      <c r="AA203" s="6591"/>
      <c r="AB203" s="6591"/>
      <c r="AC203" s="6591"/>
      <c r="AD203" s="6591"/>
      <c r="AE203" s="6591"/>
      <c r="AF203" s="6591"/>
      <c r="AG203" s="6591"/>
      <c r="AH203" s="6591">
        <v>0</v>
      </c>
    </row>
    <row s="6591" customFormat="1" customHeight="1" ht="56.25">
      <c r="A204" s="6889"/>
      <c r="B204" s="6889"/>
      <c r="C204" s="9679"/>
      <c r="D204" s="9680"/>
      <c r="E204" s="9681"/>
      <c r="F204" s="9681"/>
      <c r="G204" s="9681"/>
      <c r="H204" s="6701" t="s">
        <v>104</v>
      </c>
      <c r="I204" s="9674">
        <v>46388.694699074076</v>
      </c>
      <c r="J204" s="9675">
        <v>46752.69479166667</v>
      </c>
      <c r="K204" s="9682">
        <v>8245.12</v>
      </c>
      <c r="L204" s="6703" t="s">
        <v>399</v>
      </c>
      <c r="M204" s="9683"/>
      <c r="N204" s="9684"/>
      <c r="O204" s="6785"/>
      <c r="P204" s="6785"/>
      <c r="Q204" s="6591"/>
      <c r="R204" s="6591"/>
      <c r="S204" s="6591"/>
      <c r="T204" s="6591"/>
      <c r="U204" s="6591"/>
      <c r="V204" s="6591"/>
      <c r="W204" s="6591"/>
      <c r="X204" s="6591"/>
      <c r="Y204" s="6591"/>
      <c r="Z204" s="6591"/>
      <c r="AA204" s="6591"/>
      <c r="AB204" s="6591"/>
      <c r="AC204" s="6591"/>
      <c r="AD204" s="6591"/>
      <c r="AE204" s="6591"/>
      <c r="AF204" s="6591"/>
      <c r="AG204" s="6591"/>
      <c r="AH204" s="6591">
        <v>0</v>
      </c>
    </row>
    <row s="6591" customFormat="1" customHeight="1" ht="56.25">
      <c r="A205" s="6889"/>
      <c r="B205" s="6889"/>
      <c r="C205" s="9679"/>
      <c r="D205" s="9680"/>
      <c r="E205" s="9681"/>
      <c r="F205" s="9681"/>
      <c r="G205" s="9681"/>
      <c r="H205" s="6701" t="s">
        <v>104</v>
      </c>
      <c r="I205" s="9674">
        <v>46753.69496527778</v>
      </c>
      <c r="J205" s="9675">
        <v>47118.695081018515</v>
      </c>
      <c r="K205" s="9682">
        <v>8245.12</v>
      </c>
      <c r="L205" s="6703" t="s">
        <v>399</v>
      </c>
      <c r="M205" s="9683"/>
      <c r="N205" s="9684"/>
      <c r="O205" s="6785"/>
      <c r="P205" s="6785"/>
      <c r="Q205" s="6591"/>
      <c r="R205" s="6591"/>
      <c r="S205" s="6591"/>
      <c r="T205" s="6591"/>
      <c r="U205" s="6591"/>
      <c r="V205" s="6591"/>
      <c r="W205" s="6591"/>
      <c r="X205" s="6591"/>
      <c r="Y205" s="6591"/>
      <c r="Z205" s="6591"/>
      <c r="AA205" s="6591"/>
      <c r="AB205" s="6591"/>
      <c r="AC205" s="6591"/>
      <c r="AD205" s="6591"/>
      <c r="AE205" s="6591"/>
      <c r="AF205" s="6591"/>
      <c r="AG205" s="6591"/>
      <c r="AH205" s="6591">
        <v>0</v>
      </c>
    </row>
    <row s="5387" customFormat="1" customHeight="1" ht="18.75">
      <c r="A206" s="1893"/>
      <c r="B206" s="1893"/>
      <c r="C206" s="482" t="s">
        <v>1236</v>
      </c>
      <c r="D206" s="2575"/>
      <c r="E206" s="2317"/>
      <c r="F206" s="2496"/>
      <c r="G206" s="2540"/>
      <c r="H206" s="1613"/>
      <c r="I206" s="764" t="s">
        <v>1235</v>
      </c>
      <c r="J206" s="684"/>
      <c r="K206" s="1613"/>
      <c r="L206" s="327"/>
      <c r="M206" s="454"/>
      <c r="N206" s="447"/>
      <c r="O206" s="1737"/>
      <c r="P206" s="1737"/>
      <c r="AH206" s="1744">
        <v>0</v>
      </c>
    </row>
    <row s="5387" customFormat="1" customHeight="1" ht="0.75">
      <c r="A207" s="1893"/>
      <c r="B207" s="1893"/>
      <c r="C207" s="482" t="s">
        <v>1245</v>
      </c>
      <c r="D207" s="2575"/>
      <c r="E207" s="2317"/>
      <c r="F207" s="2496"/>
      <c r="G207" s="513"/>
      <c r="H207" s="1613"/>
      <c r="I207" s="764"/>
      <c r="J207" s="684"/>
      <c r="K207" s="1613"/>
      <c r="L207" s="327"/>
      <c r="M207" s="454"/>
      <c r="N207" s="447"/>
      <c r="O207" s="1737"/>
      <c r="P207" s="1737"/>
      <c r="AH207" s="1744">
        <v>0</v>
      </c>
    </row>
    <row s="5387" customFormat="1" customHeight="1" ht="18.75" hidden="1">
      <c r="A208" s="1893" t="s">
        <v>363</v>
      </c>
      <c r="B208" s="1893" t="s">
        <v>364</v>
      </c>
      <c r="C208" s="482"/>
      <c r="D208" s="2575"/>
      <c r="E208" s="2317"/>
      <c r="F208" s="2496" t="str">
        <f>INDEX(PT_DIFFERENTIATION_VTAR,MATCH(A208,PT_DIFFERENTIATION_VTAR_ID,0))</f>
        <v>Тариф на транспортировку сточных вод</v>
      </c>
      <c r="G208" s="2540" t="str">
        <f>INDEX(PT_DIFFERENTIATION_NTAR,MATCH(B208,PT_DIFFERENTIATION_NTAR_ID,0))</f>
        <v/>
      </c>
      <c r="H208" s="1975"/>
      <c r="I208" s="1852"/>
      <c r="J208" s="1886"/>
      <c r="K208" s="1891"/>
      <c r="L208" s="1975" t="s">
        <v>399</v>
      </c>
      <c r="M208" s="454"/>
      <c r="N208" s="447"/>
      <c r="O208" s="1737"/>
      <c r="P208" s="1737"/>
      <c r="AH208" s="1744">
        <v>0</v>
      </c>
    </row>
    <row s="5387" customFormat="1" customHeight="1" ht="18.75" hidden="1">
      <c r="A209" s="1893"/>
      <c r="B209" s="1893"/>
      <c r="C209" s="482" t="s">
        <v>1236</v>
      </c>
      <c r="D209" s="2575"/>
      <c r="E209" s="2317"/>
      <c r="F209" s="2496"/>
      <c r="G209" s="2540"/>
      <c r="H209" s="1613"/>
      <c r="I209" s="764" t="s">
        <v>1235</v>
      </c>
      <c r="J209" s="684"/>
      <c r="K209" s="1613"/>
      <c r="L209" s="327"/>
      <c r="M209" s="454"/>
      <c r="N209" s="447"/>
      <c r="O209" s="1737"/>
      <c r="P209" s="1737"/>
      <c r="AH209" s="1744">
        <v>0</v>
      </c>
    </row>
    <row s="5387" customFormat="1" customHeight="1" ht="0.75" hidden="1">
      <c r="A210" s="1893"/>
      <c r="B210" s="1893"/>
      <c r="C210" s="482" t="s">
        <v>1245</v>
      </c>
      <c r="D210" s="2575"/>
      <c r="E210" s="2317"/>
      <c r="F210" s="2496"/>
      <c r="G210" s="513"/>
      <c r="H210" s="1613"/>
      <c r="I210" s="764"/>
      <c r="J210" s="684"/>
      <c r="K210" s="1613"/>
      <c r="L210" s="327"/>
      <c r="M210" s="454"/>
      <c r="N210" s="447"/>
      <c r="O210" s="1737"/>
      <c r="P210" s="1737"/>
      <c r="AH210" s="1744">
        <v>0</v>
      </c>
    </row>
    <row s="5387" customFormat="1" customHeight="1" ht="18.75" hidden="1">
      <c r="A211" s="1893" t="s">
        <v>368</v>
      </c>
      <c r="B211" s="1893" t="s">
        <v>369</v>
      </c>
      <c r="C211" s="482"/>
      <c r="D211" s="2575"/>
      <c r="E211" s="2317"/>
      <c r="F211" s="2496" t="str">
        <f>INDEX(PT_DIFFERENTIATION_VTAR,MATCH(A211,PT_DIFFERENTIATION_VTAR_ID,0))</f>
        <v>Тариф на подключение (технологическое присоединение) к централизованной системе водоотведения</v>
      </c>
      <c r="G211" s="2540" t="str">
        <f>INDEX(PT_DIFFERENTIATION_NTAR,MATCH(B211,PT_DIFFERENTIATION_NTAR_ID,0))</f>
        <v/>
      </c>
      <c r="H211" s="1975"/>
      <c r="I211" s="1852"/>
      <c r="J211" s="1886"/>
      <c r="K211" s="1891"/>
      <c r="L211" s="1975" t="s">
        <v>399</v>
      </c>
      <c r="M211" s="454"/>
      <c r="N211" s="447"/>
      <c r="O211" s="1737"/>
      <c r="P211" s="1737"/>
      <c r="AH211" s="1744">
        <v>0</v>
      </c>
    </row>
    <row s="5387" customFormat="1" customHeight="1" ht="18.75" hidden="1">
      <c r="A212" s="1893"/>
      <c r="B212" s="1893"/>
      <c r="C212" s="482" t="s">
        <v>1236</v>
      </c>
      <c r="D212" s="2575"/>
      <c r="E212" s="2317"/>
      <c r="F212" s="2496"/>
      <c r="G212" s="2540"/>
      <c r="H212" s="1613"/>
      <c r="I212" s="764" t="s">
        <v>1235</v>
      </c>
      <c r="J212" s="684"/>
      <c r="K212" s="1613"/>
      <c r="L212" s="327"/>
      <c r="M212" s="454"/>
      <c r="N212" s="447"/>
      <c r="O212" s="1737"/>
      <c r="P212" s="1737"/>
      <c r="AH212" s="1744">
        <v>0</v>
      </c>
    </row>
    <row s="5387" customFormat="1" customHeight="1" ht="1.05">
      <c r="A213" s="1893"/>
      <c r="B213" s="1893"/>
      <c r="C213" s="482" t="s">
        <v>1245</v>
      </c>
      <c r="D213" s="2575"/>
      <c r="E213" s="2317"/>
      <c r="F213" s="2496"/>
      <c r="G213" s="513"/>
      <c r="H213" s="1613"/>
      <c r="I213" s="764"/>
      <c r="J213" s="684"/>
      <c r="K213" s="1613"/>
      <c r="L213" s="327"/>
      <c r="M213" s="454"/>
      <c r="N213" s="447"/>
      <c r="O213" s="1737"/>
      <c r="P213" s="1737"/>
      <c r="AH213" s="1744">
        <v>1</v>
      </c>
    </row>
    <row customHeight="1" ht="27.299999999999997">
      <c r="A214" s="1893"/>
      <c r="B214" s="1893"/>
      <c r="D214" s="489"/>
      <c r="E214" s="260" t="s">
        <v>116</v>
      </c>
      <c r="F214"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573"/>
      <c r="H214" s="2573"/>
      <c r="I214" s="2573"/>
      <c r="J214" s="2573"/>
      <c r="K214" s="2573"/>
      <c r="L214" s="2573"/>
      <c r="M214" s="410"/>
      <c r="N214" s="447"/>
      <c r="AH214" s="487">
        <v>26</v>
      </c>
    </row>
    <row s="5387" customFormat="1" customHeight="1" ht="60.75" hidden="1">
      <c r="A215" s="1893" t="s">
        <v>186</v>
      </c>
      <c r="B215" s="1893" t="s">
        <v>187</v>
      </c>
      <c r="C215" s="482"/>
      <c r="D215" s="2575"/>
      <c r="E215" s="2317"/>
      <c r="F215" s="2496"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540" t="str">
        <f>INDEX(PT_DIFFERENTIATION_NTAR,MATCH(B215,PT_DIFFERENTIATION_NTAR_ID,0))</f>
        <v/>
      </c>
      <c r="H215" s="1975"/>
      <c r="I215" s="1852"/>
      <c r="J215" s="1886"/>
      <c r="K215" s="1891"/>
      <c r="L215" s="1975" t="s">
        <v>399</v>
      </c>
      <c r="M215"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5" s="447"/>
      <c r="O215" s="1737"/>
      <c r="P215" s="1737"/>
      <c r="AH215" s="1744">
        <v>0</v>
      </c>
    </row>
    <row s="5387" customFormat="1" customHeight="1" ht="18.75" hidden="1">
      <c r="A216" s="1893"/>
      <c r="B216" s="1893"/>
      <c r="C216" s="482" t="s">
        <v>1236</v>
      </c>
      <c r="D216" s="2575"/>
      <c r="E216" s="2317"/>
      <c r="F216" s="2496"/>
      <c r="G216" s="2540"/>
      <c r="H216" s="1613"/>
      <c r="I216" s="764" t="s">
        <v>1235</v>
      </c>
      <c r="J216" s="684"/>
      <c r="K216" s="1613"/>
      <c r="L216" s="327"/>
      <c r="M216" s="2283"/>
      <c r="N216" s="447"/>
      <c r="O216" s="1737"/>
      <c r="P216" s="1737"/>
      <c r="AH216" s="1744">
        <v>0</v>
      </c>
    </row>
    <row s="5387" customFormat="1" customHeight="1" ht="0.75" hidden="1">
      <c r="A217" s="1893"/>
      <c r="B217" s="1893"/>
      <c r="C217" s="482" t="s">
        <v>1245</v>
      </c>
      <c r="D217" s="2575"/>
      <c r="E217" s="2317"/>
      <c r="F217" s="2496"/>
      <c r="G217" s="513"/>
      <c r="H217" s="1613"/>
      <c r="I217" s="764"/>
      <c r="J217" s="684"/>
      <c r="K217" s="1613"/>
      <c r="L217" s="327"/>
      <c r="M217" s="2283"/>
      <c r="N217" s="447"/>
      <c r="O217" s="1737"/>
      <c r="P217" s="1737"/>
      <c r="AH217" s="1744">
        <v>0</v>
      </c>
    </row>
    <row s="5387" customFormat="1" customHeight="1" ht="45" hidden="1">
      <c r="A218" s="1893" t="s">
        <v>191</v>
      </c>
      <c r="B218" s="1893" t="s">
        <v>192</v>
      </c>
      <c r="C218" s="482"/>
      <c r="D218" s="2575"/>
      <c r="E218" s="2317"/>
      <c r="F218" s="2496" t="str">
        <f>INDEX(PT_DIFFERENTIATION_VTAR,MATCH(A218,PT_DIFFERENTIATION_VTAR_ID,0))</f>
        <v/>
      </c>
      <c r="G218" s="2540" t="str">
        <f>INDEX(PT_DIFFERENTIATION_NTAR,MATCH(B218,PT_DIFFERENTIATION_NTAR_ID,0))</f>
        <v/>
      </c>
      <c r="H218" s="1975"/>
      <c r="I218" s="1852"/>
      <c r="J218" s="1886"/>
      <c r="K218" s="1891"/>
      <c r="L218" s="1975" t="s">
        <v>399</v>
      </c>
      <c r="M218" s="2284"/>
      <c r="N218" s="447"/>
      <c r="O218" s="1737"/>
      <c r="P218" s="1737"/>
      <c r="AH218" s="1744">
        <v>0</v>
      </c>
    </row>
    <row s="5387" customFormat="1" customHeight="1" ht="18.75" hidden="1">
      <c r="A219" s="1893"/>
      <c r="B219" s="1893"/>
      <c r="C219" s="482" t="s">
        <v>1236</v>
      </c>
      <c r="D219" s="2575"/>
      <c r="E219" s="2317"/>
      <c r="F219" s="2496"/>
      <c r="G219" s="2540"/>
      <c r="H219" s="1613"/>
      <c r="I219" s="764" t="s">
        <v>1235</v>
      </c>
      <c r="J219" s="684"/>
      <c r="K219" s="1613"/>
      <c r="L219" s="327"/>
      <c r="M219" s="1974"/>
      <c r="N219" s="447"/>
      <c r="O219" s="1737"/>
      <c r="P219" s="1737"/>
      <c r="AH219" s="1744">
        <v>0</v>
      </c>
    </row>
    <row s="5387" customFormat="1" customHeight="1" ht="0.75" hidden="1">
      <c r="A220" s="1893"/>
      <c r="B220" s="1893"/>
      <c r="C220" s="482" t="s">
        <v>1245</v>
      </c>
      <c r="D220" s="2575"/>
      <c r="E220" s="2317"/>
      <c r="F220" s="2496"/>
      <c r="G220" s="513"/>
      <c r="H220" s="1613"/>
      <c r="I220" s="764"/>
      <c r="J220" s="684"/>
      <c r="K220" s="1613"/>
      <c r="L220" s="327"/>
      <c r="M220" s="454"/>
      <c r="N220" s="447"/>
      <c r="O220" s="1737"/>
      <c r="P220" s="1737"/>
      <c r="AH220" s="1744">
        <v>0</v>
      </c>
    </row>
    <row s="5387" customFormat="1" customHeight="1" ht="45" hidden="1">
      <c r="A221" s="1893" t="s">
        <v>198</v>
      </c>
      <c r="B221" s="1893" t="s">
        <v>199</v>
      </c>
      <c r="C221" s="482"/>
      <c r="D221" s="2575"/>
      <c r="E221" s="2317"/>
      <c r="F221" s="2496"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540" t="str">
        <f>INDEX(PT_DIFFERENTIATION_NTAR,MATCH(B221,PT_DIFFERENTIATION_NTAR_ID,0))</f>
        <v/>
      </c>
      <c r="H221" s="1975"/>
      <c r="I221" s="1852"/>
      <c r="J221" s="1886"/>
      <c r="K221" s="1891"/>
      <c r="L221" s="1975" t="s">
        <v>399</v>
      </c>
      <c r="M221" s="454"/>
      <c r="N221" s="447"/>
      <c r="O221" s="1737"/>
      <c r="P221" s="1737"/>
      <c r="AH221" s="1744">
        <v>0</v>
      </c>
    </row>
    <row s="5387" customFormat="1" customHeight="1" ht="18.75" hidden="1">
      <c r="A222" s="1893"/>
      <c r="B222" s="1893"/>
      <c r="C222" s="482" t="s">
        <v>1236</v>
      </c>
      <c r="D222" s="2575"/>
      <c r="E222" s="2317"/>
      <c r="F222" s="2496"/>
      <c r="G222" s="2540"/>
      <c r="H222" s="1613"/>
      <c r="I222" s="764" t="s">
        <v>1235</v>
      </c>
      <c r="J222" s="684"/>
      <c r="K222" s="1613"/>
      <c r="L222" s="327"/>
      <c r="M222" s="454"/>
      <c r="N222" s="447"/>
      <c r="O222" s="1737"/>
      <c r="P222" s="1737"/>
      <c r="AH222" s="1744">
        <v>0</v>
      </c>
    </row>
    <row s="5387" customFormat="1" customHeight="1" ht="0.75" hidden="1">
      <c r="A223" s="1893"/>
      <c r="B223" s="1893"/>
      <c r="C223" s="482" t="s">
        <v>1245</v>
      </c>
      <c r="D223" s="2575"/>
      <c r="E223" s="2317"/>
      <c r="F223" s="2496"/>
      <c r="G223" s="513"/>
      <c r="H223" s="1613"/>
      <c r="I223" s="764"/>
      <c r="J223" s="684"/>
      <c r="K223" s="1613"/>
      <c r="L223" s="327"/>
      <c r="M223" s="454"/>
      <c r="N223" s="447"/>
      <c r="O223" s="1737"/>
      <c r="P223" s="1737"/>
      <c r="AH223" s="1744">
        <v>0</v>
      </c>
    </row>
    <row s="5387" customFormat="1" customHeight="1" ht="45" hidden="1">
      <c r="A224" s="1893" t="s">
        <v>204</v>
      </c>
      <c r="B224" s="1893" t="s">
        <v>205</v>
      </c>
      <c r="C224" s="482"/>
      <c r="D224" s="2575"/>
      <c r="E224" s="2317"/>
      <c r="F224" s="2496"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540" t="str">
        <f>INDEX(PT_DIFFERENTIATION_NTAR,MATCH(B224,PT_DIFFERENTIATION_NTAR_ID,0))</f>
        <v/>
      </c>
      <c r="H224" s="1975"/>
      <c r="I224" s="1852"/>
      <c r="J224" s="1886"/>
      <c r="K224" s="1891"/>
      <c r="L224" s="1975" t="s">
        <v>399</v>
      </c>
      <c r="M224" s="454"/>
      <c r="N224" s="447"/>
      <c r="O224" s="1737"/>
      <c r="P224" s="1737"/>
      <c r="AH224" s="1744">
        <v>0</v>
      </c>
    </row>
    <row s="5387" customFormat="1" customHeight="1" ht="18.75" hidden="1">
      <c r="A225" s="1893"/>
      <c r="B225" s="1893"/>
      <c r="C225" s="482" t="s">
        <v>1236</v>
      </c>
      <c r="D225" s="2575"/>
      <c r="E225" s="2317"/>
      <c r="F225" s="2496"/>
      <c r="G225" s="2540"/>
      <c r="H225" s="1613"/>
      <c r="I225" s="764" t="s">
        <v>1235</v>
      </c>
      <c r="J225" s="684"/>
      <c r="K225" s="1613"/>
      <c r="L225" s="327"/>
      <c r="M225" s="454"/>
      <c r="N225" s="447"/>
      <c r="O225" s="1737"/>
      <c r="P225" s="1737"/>
      <c r="AH225" s="1744">
        <v>0</v>
      </c>
    </row>
    <row s="5387" customFormat="1" customHeight="1" ht="0.75" hidden="1">
      <c r="A226" s="1893"/>
      <c r="B226" s="1893"/>
      <c r="C226" s="482" t="s">
        <v>1245</v>
      </c>
      <c r="D226" s="2575"/>
      <c r="E226" s="2317"/>
      <c r="F226" s="2496"/>
      <c r="G226" s="513"/>
      <c r="H226" s="1613"/>
      <c r="I226" s="764"/>
      <c r="J226" s="684"/>
      <c r="K226" s="1613"/>
      <c r="L226" s="327"/>
      <c r="M226" s="454"/>
      <c r="N226" s="447"/>
      <c r="O226" s="1737"/>
      <c r="P226" s="1737"/>
      <c r="AH226" s="1744">
        <v>0</v>
      </c>
    </row>
    <row s="5387" customFormat="1" customHeight="1" ht="18.75" hidden="1">
      <c r="A227" s="1893" t="s">
        <v>210</v>
      </c>
      <c r="B227" s="1893" t="s">
        <v>211</v>
      </c>
      <c r="C227" s="482"/>
      <c r="D227" s="2575"/>
      <c r="E227" s="2317"/>
      <c r="F227" s="2496" t="str">
        <f>INDEX(PT_DIFFERENTIATION_VTAR,MATCH(A227,PT_DIFFERENTIATION_VTAR_ID,0))</f>
        <v>Тарифы на услуги по передаче тепловой энергии</v>
      </c>
      <c r="G227" s="2540" t="str">
        <f>INDEX(PT_DIFFERENTIATION_NTAR,MATCH(B227,PT_DIFFERENTIATION_NTAR_ID,0))</f>
        <v/>
      </c>
      <c r="H227" s="1975"/>
      <c r="I227" s="1852"/>
      <c r="J227" s="1886"/>
      <c r="K227" s="1891"/>
      <c r="L227" s="1975" t="s">
        <v>399</v>
      </c>
      <c r="M227" s="454"/>
      <c r="N227" s="447"/>
      <c r="O227" s="1737"/>
      <c r="P227" s="1737"/>
      <c r="AH227" s="1744">
        <v>0</v>
      </c>
    </row>
    <row s="5387" customFormat="1" customHeight="1" ht="18.75" hidden="1">
      <c r="A228" s="1893"/>
      <c r="B228" s="1893"/>
      <c r="C228" s="482" t="s">
        <v>1236</v>
      </c>
      <c r="D228" s="2575"/>
      <c r="E228" s="2317"/>
      <c r="F228" s="2496"/>
      <c r="G228" s="2540"/>
      <c r="H228" s="1613"/>
      <c r="I228" s="764" t="s">
        <v>1235</v>
      </c>
      <c r="J228" s="684"/>
      <c r="K228" s="1613"/>
      <c r="L228" s="327"/>
      <c r="M228" s="454"/>
      <c r="N228" s="447"/>
      <c r="O228" s="1737"/>
      <c r="P228" s="1737"/>
      <c r="AH228" s="1744">
        <v>0</v>
      </c>
    </row>
    <row s="5387" customFormat="1" customHeight="1" ht="0.75" hidden="1">
      <c r="A229" s="1893"/>
      <c r="B229" s="1893"/>
      <c r="C229" s="482" t="s">
        <v>1245</v>
      </c>
      <c r="D229" s="2575"/>
      <c r="E229" s="2317"/>
      <c r="F229" s="2496"/>
      <c r="G229" s="513"/>
      <c r="H229" s="1613"/>
      <c r="I229" s="764"/>
      <c r="J229" s="684"/>
      <c r="K229" s="1613"/>
      <c r="L229" s="327"/>
      <c r="M229" s="454"/>
      <c r="N229" s="447"/>
      <c r="O229" s="1737"/>
      <c r="P229" s="1737"/>
      <c r="AH229" s="1744">
        <v>0</v>
      </c>
    </row>
    <row s="5387" customFormat="1" customHeight="1" ht="18.75" hidden="1">
      <c r="A230" s="1893" t="s">
        <v>216</v>
      </c>
      <c r="B230" s="1893" t="s">
        <v>217</v>
      </c>
      <c r="C230" s="482"/>
      <c r="D230" s="2575"/>
      <c r="E230" s="2317"/>
      <c r="F230" s="2496" t="str">
        <f>INDEX(PT_DIFFERENTIATION_VTAR,MATCH(A230,PT_DIFFERENTIATION_VTAR_ID,0))</f>
        <v>Тарифы на услуги по передаче теплоносителя</v>
      </c>
      <c r="G230" s="2540" t="str">
        <f>INDEX(PT_DIFFERENTIATION_NTAR,MATCH(B230,PT_DIFFERENTIATION_NTAR_ID,0))</f>
        <v/>
      </c>
      <c r="H230" s="1975"/>
      <c r="I230" s="1852"/>
      <c r="J230" s="1886"/>
      <c r="K230" s="1891"/>
      <c r="L230" s="1975" t="s">
        <v>399</v>
      </c>
      <c r="M230" s="454"/>
      <c r="N230" s="447"/>
      <c r="O230" s="1737"/>
      <c r="P230" s="1737"/>
      <c r="AH230" s="1744">
        <v>0</v>
      </c>
    </row>
    <row s="5387" customFormat="1" customHeight="1" ht="18.75" hidden="1">
      <c r="A231" s="1893"/>
      <c r="B231" s="1893"/>
      <c r="C231" s="482" t="s">
        <v>1236</v>
      </c>
      <c r="D231" s="2575"/>
      <c r="E231" s="2317"/>
      <c r="F231" s="2496"/>
      <c r="G231" s="2540"/>
      <c r="H231" s="1613"/>
      <c r="I231" s="764" t="s">
        <v>1235</v>
      </c>
      <c r="J231" s="684"/>
      <c r="K231" s="1613"/>
      <c r="L231" s="327"/>
      <c r="M231" s="454"/>
      <c r="N231" s="447"/>
      <c r="O231" s="1737"/>
      <c r="P231" s="1737"/>
      <c r="AH231" s="1744">
        <v>0</v>
      </c>
    </row>
    <row s="5387" customFormat="1" customHeight="1" ht="0.75" hidden="1">
      <c r="A232" s="1893"/>
      <c r="B232" s="1893"/>
      <c r="C232" s="482" t="s">
        <v>1245</v>
      </c>
      <c r="D232" s="2575"/>
      <c r="E232" s="2317"/>
      <c r="F232" s="2496"/>
      <c r="G232" s="513"/>
      <c r="H232" s="1613"/>
      <c r="I232" s="764"/>
      <c r="J232" s="684"/>
      <c r="K232" s="1613"/>
      <c r="L232" s="327"/>
      <c r="M232" s="454"/>
      <c r="N232" s="447"/>
      <c r="O232" s="1737"/>
      <c r="P232" s="1737"/>
      <c r="AH232" s="1744">
        <v>0</v>
      </c>
    </row>
    <row s="5387" customFormat="1" customHeight="1" ht="18.75" hidden="1">
      <c r="A233" s="1893" t="s">
        <v>222</v>
      </c>
      <c r="B233" s="1893" t="s">
        <v>223</v>
      </c>
      <c r="C233" s="482"/>
      <c r="D233" s="2575"/>
      <c r="E233" s="2317"/>
      <c r="F233" s="2496"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540" t="str">
        <f>INDEX(PT_DIFFERENTIATION_NTAR,MATCH(B233,PT_DIFFERENTIATION_NTAR_ID,0))</f>
        <v/>
      </c>
      <c r="H233" s="1975"/>
      <c r="I233" s="1852"/>
      <c r="J233" s="1886"/>
      <c r="K233" s="1891"/>
      <c r="L233" s="1975" t="s">
        <v>399</v>
      </c>
      <c r="M233" s="454"/>
      <c r="N233" s="447"/>
      <c r="O233" s="1737"/>
      <c r="P233" s="1737"/>
      <c r="AH233" s="1744">
        <v>0</v>
      </c>
    </row>
    <row s="5387" customFormat="1" customHeight="1" ht="18.75" hidden="1">
      <c r="A234" s="1893"/>
      <c r="B234" s="1893"/>
      <c r="C234" s="482" t="s">
        <v>1236</v>
      </c>
      <c r="D234" s="2575"/>
      <c r="E234" s="2317"/>
      <c r="F234" s="2496"/>
      <c r="G234" s="2540"/>
      <c r="H234" s="1613"/>
      <c r="I234" s="764" t="s">
        <v>1235</v>
      </c>
      <c r="J234" s="684"/>
      <c r="K234" s="1613"/>
      <c r="L234" s="327"/>
      <c r="M234" s="454"/>
      <c r="N234" s="447"/>
      <c r="O234" s="1737"/>
      <c r="P234" s="1737"/>
      <c r="AH234" s="1744">
        <v>0</v>
      </c>
    </row>
    <row s="5387" customFormat="1" customHeight="1" ht="0.75" hidden="1">
      <c r="A235" s="1893"/>
      <c r="B235" s="1893"/>
      <c r="C235" s="482" t="s">
        <v>1245</v>
      </c>
      <c r="D235" s="2575"/>
      <c r="E235" s="2317"/>
      <c r="F235" s="2496"/>
      <c r="G235" s="513"/>
      <c r="H235" s="1613"/>
      <c r="I235" s="764"/>
      <c r="J235" s="684"/>
      <c r="K235" s="1613"/>
      <c r="L235" s="327"/>
      <c r="M235" s="454"/>
      <c r="N235" s="447"/>
      <c r="O235" s="1737"/>
      <c r="P235" s="1737"/>
      <c r="AH235" s="1744">
        <v>0</v>
      </c>
    </row>
    <row s="5387" customFormat="1" customHeight="1" ht="18.75" hidden="1">
      <c r="A236" s="1893" t="s">
        <v>228</v>
      </c>
      <c r="B236" s="1893" t="s">
        <v>229</v>
      </c>
      <c r="C236" s="482"/>
      <c r="D236" s="2575"/>
      <c r="E236" s="2317"/>
      <c r="F236" s="2496" t="str">
        <f>INDEX(PT_DIFFERENTIATION_VTAR,MATCH(A236,PT_DIFFERENTIATION_VTAR_ID,0))</f>
        <v>Плата за подключение (технологическое присоединение) к системе теплоснабжения</v>
      </c>
      <c r="G236" s="2540" t="str">
        <f>INDEX(PT_DIFFERENTIATION_NTAR,MATCH(B236,PT_DIFFERENTIATION_NTAR_ID,0))</f>
        <v/>
      </c>
      <c r="H236" s="1975"/>
      <c r="I236" s="1852"/>
      <c r="J236" s="1886"/>
      <c r="K236" s="1891"/>
      <c r="L236" s="1975" t="s">
        <v>399</v>
      </c>
      <c r="M236" s="454"/>
      <c r="N236" s="447"/>
      <c r="O236" s="1737"/>
      <c r="P236" s="1737"/>
      <c r="AH236" s="1744">
        <v>0</v>
      </c>
    </row>
    <row s="5387" customFormat="1" customHeight="1" ht="18.75" hidden="1">
      <c r="A237" s="1893"/>
      <c r="B237" s="1893"/>
      <c r="C237" s="482" t="s">
        <v>1236</v>
      </c>
      <c r="D237" s="2575"/>
      <c r="E237" s="2317"/>
      <c r="F237" s="2496"/>
      <c r="G237" s="2540"/>
      <c r="H237" s="1613"/>
      <c r="I237" s="764" t="s">
        <v>1235</v>
      </c>
      <c r="J237" s="684"/>
      <c r="K237" s="1613"/>
      <c r="L237" s="327"/>
      <c r="M237" s="454"/>
      <c r="N237" s="447"/>
      <c r="O237" s="1737"/>
      <c r="P237" s="1737"/>
      <c r="AH237" s="1744">
        <v>0</v>
      </c>
    </row>
    <row s="5387" customFormat="1" customHeight="1" ht="0.75" hidden="1">
      <c r="A238" s="1893"/>
      <c r="B238" s="1893"/>
      <c r="C238" s="482" t="s">
        <v>1245</v>
      </c>
      <c r="D238" s="2575"/>
      <c r="E238" s="2317"/>
      <c r="F238" s="2496"/>
      <c r="G238" s="513"/>
      <c r="H238" s="1613"/>
      <c r="I238" s="764"/>
      <c r="J238" s="684"/>
      <c r="K238" s="1613"/>
      <c r="L238" s="327"/>
      <c r="M238" s="454"/>
      <c r="N238" s="447"/>
      <c r="O238" s="1737"/>
      <c r="P238" s="1737"/>
      <c r="AH238" s="1744">
        <v>0</v>
      </c>
    </row>
    <row s="5387" customFormat="1" customHeight="1" ht="18.75" hidden="1">
      <c r="A239" s="1893" t="s">
        <v>234</v>
      </c>
      <c r="B239" s="1893" t="s">
        <v>235</v>
      </c>
      <c r="C239" s="482"/>
      <c r="D239" s="2575"/>
      <c r="E239" s="2317"/>
      <c r="F239" s="2496" t="str">
        <f>INDEX(PT_DIFFERENTIATION_VTAR,MATCH(A239,PT_DIFFERENTIATION_VTAR_ID,0))</f>
        <v>Плата за подключение (технологическое присоединение) к системе теплоснабжения (индивидуальная)</v>
      </c>
      <c r="G239" s="2540" t="str">
        <f>INDEX(PT_DIFFERENTIATION_NTAR,MATCH(B239,PT_DIFFERENTIATION_NTAR_ID,0))</f>
        <v/>
      </c>
      <c r="H239" s="2102"/>
      <c r="I239" s="1852"/>
      <c r="J239" s="1886"/>
      <c r="K239" s="1891"/>
      <c r="L239" s="2102" t="s">
        <v>399</v>
      </c>
      <c r="M239" s="454"/>
      <c r="N239" s="447"/>
      <c r="O239" s="1737"/>
      <c r="P239" s="1737"/>
      <c r="AH239" s="1744">
        <v>0</v>
      </c>
    </row>
    <row s="5387" customFormat="1" customHeight="1" ht="18.75" hidden="1">
      <c r="A240" s="1893"/>
      <c r="B240" s="1893"/>
      <c r="C240" s="482" t="s">
        <v>1236</v>
      </c>
      <c r="D240" s="2575"/>
      <c r="E240" s="2317"/>
      <c r="F240" s="2496"/>
      <c r="G240" s="2540"/>
      <c r="H240" s="1613"/>
      <c r="I240" s="764" t="s">
        <v>1235</v>
      </c>
      <c r="J240" s="684"/>
      <c r="K240" s="1613"/>
      <c r="L240" s="327"/>
      <c r="M240" s="454"/>
      <c r="N240" s="447"/>
      <c r="O240" s="1737"/>
      <c r="P240" s="1737"/>
      <c r="AH240" s="1744">
        <v>0</v>
      </c>
    </row>
    <row s="5387" customFormat="1" customHeight="1" ht="0.75" hidden="1">
      <c r="A241" s="1893"/>
      <c r="B241" s="1893"/>
      <c r="C241" s="482" t="s">
        <v>1245</v>
      </c>
      <c r="D241" s="2575"/>
      <c r="E241" s="2317"/>
      <c r="F241" s="2496"/>
      <c r="G241" s="513"/>
      <c r="H241" s="1613"/>
      <c r="I241" s="764"/>
      <c r="J241" s="684"/>
      <c r="K241" s="1613"/>
      <c r="L241" s="327"/>
      <c r="M241" s="454"/>
      <c r="N241" s="447"/>
      <c r="O241" s="1737"/>
      <c r="P241" s="1737"/>
      <c r="AH241" s="1744">
        <v>0</v>
      </c>
    </row>
    <row s="5387" customFormat="1" customHeight="1" ht="18.75" hidden="1">
      <c r="A242" s="1893" t="s">
        <v>254</v>
      </c>
      <c r="B242" s="1893" t="s">
        <v>255</v>
      </c>
      <c r="C242" s="482"/>
      <c r="D242" s="2575"/>
      <c r="E242" s="2317"/>
      <c r="F242" s="2496" t="str">
        <f>INDEX(PT_DIFFERENTIATION_VTAR,MATCH(A242,PT_DIFFERENTIATION_VTAR_ID,0))</f>
        <v>Тариф на питьевую воду (питьевое водоснабжение)</v>
      </c>
      <c r="G242" s="2540" t="str">
        <f>INDEX(PT_DIFFERENTIATION_NTAR,MATCH(B242,PT_DIFFERENTIATION_NTAR_ID,0))</f>
        <v/>
      </c>
      <c r="H242" s="1975"/>
      <c r="I242" s="1852"/>
      <c r="J242" s="1886"/>
      <c r="K242" s="1891"/>
      <c r="L242" s="1975" t="s">
        <v>399</v>
      </c>
      <c r="M242" s="454"/>
      <c r="N242" s="447"/>
      <c r="O242" s="1737"/>
      <c r="P242" s="1737"/>
      <c r="AH242" s="1744">
        <v>0</v>
      </c>
    </row>
    <row s="5387" customFormat="1" customHeight="1" ht="18.75" hidden="1">
      <c r="A243" s="1893"/>
      <c r="B243" s="1893"/>
      <c r="C243" s="482" t="s">
        <v>1236</v>
      </c>
      <c r="D243" s="2575"/>
      <c r="E243" s="2317"/>
      <c r="F243" s="2496"/>
      <c r="G243" s="2540"/>
      <c r="H243" s="1613"/>
      <c r="I243" s="764" t="s">
        <v>1235</v>
      </c>
      <c r="J243" s="684"/>
      <c r="K243" s="1613"/>
      <c r="L243" s="327"/>
      <c r="M243" s="454"/>
      <c r="N243" s="447"/>
      <c r="O243" s="1737"/>
      <c r="P243" s="1737"/>
      <c r="AH243" s="1744">
        <v>0</v>
      </c>
    </row>
    <row s="5387" customFormat="1" customHeight="1" ht="0.75" hidden="1">
      <c r="A244" s="1893"/>
      <c r="B244" s="1893"/>
      <c r="C244" s="482" t="s">
        <v>1245</v>
      </c>
      <c r="D244" s="2575"/>
      <c r="E244" s="2317"/>
      <c r="F244" s="2496"/>
      <c r="G244" s="513"/>
      <c r="H244" s="1613"/>
      <c r="I244" s="764"/>
      <c r="J244" s="684"/>
      <c r="K244" s="1613"/>
      <c r="L244" s="327"/>
      <c r="M244" s="454"/>
      <c r="N244" s="447"/>
      <c r="O244" s="1737"/>
      <c r="P244" s="1737"/>
      <c r="AH244" s="1744">
        <v>0</v>
      </c>
    </row>
    <row s="5387" customFormat="1" customHeight="1" ht="18.75" hidden="1">
      <c r="A245" s="1893" t="s">
        <v>259</v>
      </c>
      <c r="B245" s="1893" t="s">
        <v>260</v>
      </c>
      <c r="C245" s="482"/>
      <c r="D245" s="2575"/>
      <c r="E245" s="2317"/>
      <c r="F245" s="2496" t="str">
        <f>INDEX(PT_DIFFERENTIATION_VTAR,MATCH(A245,PT_DIFFERENTIATION_VTAR_ID,0))</f>
        <v>Тариф на техническую воду</v>
      </c>
      <c r="G245" s="2540" t="str">
        <f>INDEX(PT_DIFFERENTIATION_NTAR,MATCH(B245,PT_DIFFERENTIATION_NTAR_ID,0))</f>
        <v/>
      </c>
      <c r="H245" s="1975"/>
      <c r="I245" s="1852"/>
      <c r="J245" s="1886"/>
      <c r="K245" s="1891"/>
      <c r="L245" s="1975" t="s">
        <v>399</v>
      </c>
      <c r="M245" s="454"/>
      <c r="N245" s="447"/>
      <c r="O245" s="1737"/>
      <c r="P245" s="1737"/>
      <c r="AH245" s="1744">
        <v>0</v>
      </c>
    </row>
    <row s="5387" customFormat="1" customHeight="1" ht="18.75" hidden="1">
      <c r="A246" s="1893"/>
      <c r="B246" s="1893"/>
      <c r="C246" s="482" t="s">
        <v>1236</v>
      </c>
      <c r="D246" s="2575"/>
      <c r="E246" s="2317"/>
      <c r="F246" s="2496"/>
      <c r="G246" s="2540"/>
      <c r="H246" s="1613"/>
      <c r="I246" s="764" t="s">
        <v>1235</v>
      </c>
      <c r="J246" s="684"/>
      <c r="K246" s="1613"/>
      <c r="L246" s="327"/>
      <c r="M246" s="454"/>
      <c r="N246" s="447"/>
      <c r="O246" s="1737"/>
      <c r="P246" s="1737"/>
      <c r="AH246" s="1744">
        <v>0</v>
      </c>
    </row>
    <row s="5387" customFormat="1" customHeight="1" ht="0.75" hidden="1">
      <c r="A247" s="1893"/>
      <c r="B247" s="1893"/>
      <c r="C247" s="482" t="s">
        <v>1245</v>
      </c>
      <c r="D247" s="2575"/>
      <c r="E247" s="2317"/>
      <c r="F247" s="2496"/>
      <c r="G247" s="513"/>
      <c r="H247" s="1613"/>
      <c r="I247" s="764"/>
      <c r="J247" s="684"/>
      <c r="K247" s="1613"/>
      <c r="L247" s="327"/>
      <c r="M247" s="454"/>
      <c r="N247" s="447"/>
      <c r="O247" s="1737"/>
      <c r="P247" s="1737"/>
      <c r="AH247" s="1744">
        <v>0</v>
      </c>
    </row>
    <row s="5387" customFormat="1" customHeight="1" ht="18.75" hidden="1">
      <c r="A248" s="1893" t="s">
        <v>264</v>
      </c>
      <c r="B248" s="1893" t="s">
        <v>265</v>
      </c>
      <c r="C248" s="482"/>
      <c r="D248" s="2575"/>
      <c r="E248" s="2317"/>
      <c r="F248" s="2496" t="str">
        <f>INDEX(PT_DIFFERENTIATION_VTAR,MATCH(A248,PT_DIFFERENTIATION_VTAR_ID,0))</f>
        <v>Тариф на транспортировку воды</v>
      </c>
      <c r="G248" s="2540" t="str">
        <f>INDEX(PT_DIFFERENTIATION_NTAR,MATCH(B248,PT_DIFFERENTIATION_NTAR_ID,0))</f>
        <v/>
      </c>
      <c r="H248" s="1975"/>
      <c r="I248" s="1852"/>
      <c r="J248" s="1886"/>
      <c r="K248" s="1891"/>
      <c r="L248" s="1975" t="s">
        <v>399</v>
      </c>
      <c r="M248" s="454"/>
      <c r="N248" s="447"/>
      <c r="O248" s="1737"/>
      <c r="P248" s="1737"/>
      <c r="AH248" s="1744">
        <v>0</v>
      </c>
    </row>
    <row s="5387" customFormat="1" customHeight="1" ht="18.75" hidden="1">
      <c r="A249" s="1893"/>
      <c r="B249" s="1893"/>
      <c r="C249" s="482" t="s">
        <v>1236</v>
      </c>
      <c r="D249" s="2575"/>
      <c r="E249" s="2317"/>
      <c r="F249" s="2496"/>
      <c r="G249" s="2540"/>
      <c r="H249" s="1613"/>
      <c r="I249" s="764" t="s">
        <v>1235</v>
      </c>
      <c r="J249" s="684"/>
      <c r="K249" s="1613"/>
      <c r="L249" s="327"/>
      <c r="M249" s="454"/>
      <c r="N249" s="447"/>
      <c r="O249" s="1737"/>
      <c r="P249" s="1737"/>
      <c r="AH249" s="1744">
        <v>0</v>
      </c>
    </row>
    <row s="5387" customFormat="1" customHeight="1" ht="0.75" hidden="1">
      <c r="A250" s="1893"/>
      <c r="B250" s="1893"/>
      <c r="C250" s="482" t="s">
        <v>1245</v>
      </c>
      <c r="D250" s="2575"/>
      <c r="E250" s="2317"/>
      <c r="F250" s="2496"/>
      <c r="G250" s="513"/>
      <c r="H250" s="1613"/>
      <c r="I250" s="764"/>
      <c r="J250" s="684"/>
      <c r="K250" s="1613"/>
      <c r="L250" s="327"/>
      <c r="M250" s="454"/>
      <c r="N250" s="447"/>
      <c r="O250" s="1737"/>
      <c r="P250" s="1737"/>
      <c r="AH250" s="1744">
        <v>0</v>
      </c>
    </row>
    <row s="5387" customFormat="1" customHeight="1" ht="18.75" hidden="1">
      <c r="A251" s="1893" t="s">
        <v>269</v>
      </c>
      <c r="B251" s="1893" t="s">
        <v>270</v>
      </c>
      <c r="C251" s="482"/>
      <c r="D251" s="2575"/>
      <c r="E251" s="2317"/>
      <c r="F251" s="2496" t="str">
        <f>INDEX(PT_DIFFERENTIATION_VTAR,MATCH(A251,PT_DIFFERENTIATION_VTAR_ID,0))</f>
        <v>Тариф на подвоз воды</v>
      </c>
      <c r="G251" s="2540" t="str">
        <f>INDEX(PT_DIFFERENTIATION_NTAR,MATCH(B251,PT_DIFFERENTIATION_NTAR_ID,0))</f>
        <v/>
      </c>
      <c r="H251" s="1975"/>
      <c r="I251" s="1852"/>
      <c r="J251" s="1886"/>
      <c r="K251" s="1891"/>
      <c r="L251" s="1975" t="s">
        <v>399</v>
      </c>
      <c r="M251" s="454"/>
      <c r="N251" s="447"/>
      <c r="O251" s="1737"/>
      <c r="P251" s="1737"/>
      <c r="AH251" s="1744">
        <v>0</v>
      </c>
    </row>
    <row s="5387" customFormat="1" customHeight="1" ht="18.75" hidden="1">
      <c r="A252" s="1893"/>
      <c r="B252" s="1893"/>
      <c r="C252" s="482" t="s">
        <v>1236</v>
      </c>
      <c r="D252" s="2575"/>
      <c r="E252" s="2317"/>
      <c r="F252" s="2496"/>
      <c r="G252" s="2540"/>
      <c r="H252" s="1613"/>
      <c r="I252" s="764" t="s">
        <v>1235</v>
      </c>
      <c r="J252" s="684"/>
      <c r="K252" s="1613"/>
      <c r="L252" s="327"/>
      <c r="M252" s="454"/>
      <c r="N252" s="447"/>
      <c r="O252" s="1737"/>
      <c r="P252" s="1737"/>
      <c r="AH252" s="1744">
        <v>0</v>
      </c>
    </row>
    <row s="5387" customFormat="1" customHeight="1" ht="0.75" hidden="1">
      <c r="A253" s="1893"/>
      <c r="B253" s="1893"/>
      <c r="C253" s="482" t="s">
        <v>1245</v>
      </c>
      <c r="D253" s="2575"/>
      <c r="E253" s="2317"/>
      <c r="F253" s="2496"/>
      <c r="G253" s="513"/>
      <c r="H253" s="1613"/>
      <c r="I253" s="764"/>
      <c r="J253" s="684"/>
      <c r="K253" s="1613"/>
      <c r="L253" s="327"/>
      <c r="M253" s="454"/>
      <c r="N253" s="447"/>
      <c r="O253" s="1737"/>
      <c r="P253" s="1737"/>
      <c r="AH253" s="1744">
        <v>0</v>
      </c>
    </row>
    <row s="5387" customFormat="1" customHeight="1" ht="18.75" hidden="1">
      <c r="A254" s="1893" t="s">
        <v>274</v>
      </c>
      <c r="B254" s="1893" t="s">
        <v>275</v>
      </c>
      <c r="C254" s="482"/>
      <c r="D254" s="2575"/>
      <c r="E254" s="2317"/>
      <c r="F254" s="2496"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540" t="str">
        <f>INDEX(PT_DIFFERENTIATION_NTAR,MATCH(B254,PT_DIFFERENTIATION_NTAR_ID,0))</f>
        <v/>
      </c>
      <c r="H254" s="1975"/>
      <c r="I254" s="1852"/>
      <c r="J254" s="1886"/>
      <c r="K254" s="1891"/>
      <c r="L254" s="1975" t="s">
        <v>399</v>
      </c>
      <c r="M254" s="454"/>
      <c r="N254" s="447"/>
      <c r="O254" s="1737"/>
      <c r="P254" s="1737"/>
      <c r="AH254" s="1744">
        <v>0</v>
      </c>
    </row>
    <row s="5387" customFormat="1" customHeight="1" ht="18.75" hidden="1">
      <c r="A255" s="1893"/>
      <c r="B255" s="1893"/>
      <c r="C255" s="482" t="s">
        <v>1236</v>
      </c>
      <c r="D255" s="2575"/>
      <c r="E255" s="2317"/>
      <c r="F255" s="2496"/>
      <c r="G255" s="2540"/>
      <c r="H255" s="1613"/>
      <c r="I255" s="764" t="s">
        <v>1235</v>
      </c>
      <c r="J255" s="684"/>
      <c r="K255" s="1613"/>
      <c r="L255" s="327"/>
      <c r="M255" s="454"/>
      <c r="N255" s="447"/>
      <c r="O255" s="1737"/>
      <c r="P255" s="1737"/>
      <c r="AH255" s="1744">
        <v>0</v>
      </c>
    </row>
    <row s="5387" customFormat="1" customHeight="1" ht="0.75" hidden="1">
      <c r="A256" s="1893"/>
      <c r="B256" s="1893"/>
      <c r="C256" s="482" t="s">
        <v>1245</v>
      </c>
      <c r="D256" s="2575"/>
      <c r="E256" s="2317"/>
      <c r="F256" s="2496"/>
      <c r="G256" s="513"/>
      <c r="H256" s="1613"/>
      <c r="I256" s="764"/>
      <c r="J256" s="684"/>
      <c r="K256" s="1613"/>
      <c r="L256" s="327"/>
      <c r="M256" s="454"/>
      <c r="N256" s="447"/>
      <c r="O256" s="1737"/>
      <c r="P256" s="1737"/>
      <c r="AH256" s="1744">
        <v>0</v>
      </c>
    </row>
    <row s="5387" customFormat="1" customHeight="1" ht="18.75" hidden="1">
      <c r="A257" s="1893" t="s">
        <v>279</v>
      </c>
      <c r="B257" s="1893" t="s">
        <v>280</v>
      </c>
      <c r="C257" s="482"/>
      <c r="D257" s="2575"/>
      <c r="E257" s="2317"/>
      <c r="F257" s="2496" t="str">
        <f>INDEX(PT_DIFFERENTIATION_VTAR,MATCH(A257,PT_DIFFERENTIATION_VTAR_ID,0))</f>
        <v>Тариф на горячую воду (горячее водоснабжение)</v>
      </c>
      <c r="G257" s="2540" t="str">
        <f>INDEX(PT_DIFFERENTIATION_NTAR,MATCH(B257,PT_DIFFERENTIATION_NTAR_ID,0))</f>
        <v/>
      </c>
      <c r="H257" s="1975"/>
      <c r="I257" s="1852"/>
      <c r="J257" s="1886"/>
      <c r="K257" s="1891"/>
      <c r="L257" s="1975" t="s">
        <v>399</v>
      </c>
      <c r="M257" s="454"/>
      <c r="N257" s="447"/>
      <c r="O257" s="1737"/>
      <c r="P257" s="1737"/>
      <c r="AH257" s="1744">
        <v>0</v>
      </c>
    </row>
    <row s="5387" customFormat="1" customHeight="1" ht="18.75" hidden="1">
      <c r="A258" s="1893"/>
      <c r="B258" s="1893"/>
      <c r="C258" s="482" t="s">
        <v>1236</v>
      </c>
      <c r="D258" s="2575"/>
      <c r="E258" s="2317"/>
      <c r="F258" s="2496"/>
      <c r="G258" s="2540"/>
      <c r="H258" s="1613"/>
      <c r="I258" s="764" t="s">
        <v>1235</v>
      </c>
      <c r="J258" s="684"/>
      <c r="K258" s="1613"/>
      <c r="L258" s="327"/>
      <c r="M258" s="454"/>
      <c r="N258" s="447"/>
      <c r="O258" s="1737"/>
      <c r="P258" s="1737"/>
      <c r="AH258" s="1744">
        <v>0</v>
      </c>
    </row>
    <row s="5387" customFormat="1" customHeight="1" ht="0.75" hidden="1">
      <c r="A259" s="1893"/>
      <c r="B259" s="1893"/>
      <c r="C259" s="482" t="s">
        <v>1245</v>
      </c>
      <c r="D259" s="2575"/>
      <c r="E259" s="2317"/>
      <c r="F259" s="2496"/>
      <c r="G259" s="513"/>
      <c r="H259" s="1613"/>
      <c r="I259" s="764"/>
      <c r="J259" s="684"/>
      <c r="K259" s="1613"/>
      <c r="L259" s="327"/>
      <c r="M259" s="454"/>
      <c r="N259" s="447"/>
      <c r="O259" s="1737"/>
      <c r="P259" s="1737"/>
      <c r="AH259" s="1744">
        <v>0</v>
      </c>
    </row>
    <row s="5387" customFormat="1" customHeight="1" ht="18.75" hidden="1">
      <c r="A260" s="1893" t="s">
        <v>284</v>
      </c>
      <c r="B260" s="1893" t="s">
        <v>285</v>
      </c>
      <c r="C260" s="482"/>
      <c r="D260" s="2575"/>
      <c r="E260" s="2317"/>
      <c r="F260" s="2496" t="str">
        <f>INDEX(PT_DIFFERENTIATION_VTAR,MATCH(A260,PT_DIFFERENTIATION_VTAR_ID,0))</f>
        <v>Тариф на транспортировку горячей воды</v>
      </c>
      <c r="G260" s="2540" t="str">
        <f>INDEX(PT_DIFFERENTIATION_NTAR,MATCH(B260,PT_DIFFERENTIATION_NTAR_ID,0))</f>
        <v/>
      </c>
      <c r="H260" s="1975"/>
      <c r="I260" s="1852"/>
      <c r="J260" s="1886"/>
      <c r="K260" s="1891"/>
      <c r="L260" s="1975" t="s">
        <v>399</v>
      </c>
      <c r="M260" s="454"/>
      <c r="N260" s="447"/>
      <c r="O260" s="1737"/>
      <c r="P260" s="1737"/>
      <c r="AH260" s="1744">
        <v>0</v>
      </c>
    </row>
    <row s="5387" customFormat="1" customHeight="1" ht="18.75" hidden="1">
      <c r="A261" s="1893"/>
      <c r="B261" s="1893"/>
      <c r="C261" s="482" t="s">
        <v>1236</v>
      </c>
      <c r="D261" s="2575"/>
      <c r="E261" s="2317"/>
      <c r="F261" s="2496"/>
      <c r="G261" s="2540"/>
      <c r="H261" s="1613"/>
      <c r="I261" s="764" t="s">
        <v>1235</v>
      </c>
      <c r="J261" s="684"/>
      <c r="K261" s="1613"/>
      <c r="L261" s="327"/>
      <c r="M261" s="454"/>
      <c r="N261" s="447"/>
      <c r="O261" s="1737"/>
      <c r="P261" s="1737"/>
      <c r="AH261" s="1744">
        <v>0</v>
      </c>
    </row>
    <row s="5387" customFormat="1" customHeight="1" ht="0.75" hidden="1">
      <c r="A262" s="1893"/>
      <c r="B262" s="1893"/>
      <c r="C262" s="482" t="s">
        <v>1245</v>
      </c>
      <c r="D262" s="2575"/>
      <c r="E262" s="2317"/>
      <c r="F262" s="2496"/>
      <c r="G262" s="513"/>
      <c r="H262" s="1613"/>
      <c r="I262" s="764"/>
      <c r="J262" s="684"/>
      <c r="K262" s="1613"/>
      <c r="L262" s="327"/>
      <c r="M262" s="454"/>
      <c r="N262" s="447"/>
      <c r="O262" s="1737"/>
      <c r="P262" s="1737"/>
      <c r="AH262" s="1744">
        <v>0</v>
      </c>
    </row>
    <row s="5387" customFormat="1" customHeight="1" ht="18.75" hidden="1">
      <c r="A263" s="1893" t="s">
        <v>289</v>
      </c>
      <c r="B263" s="1893" t="s">
        <v>290</v>
      </c>
      <c r="C263" s="482"/>
      <c r="D263" s="2575"/>
      <c r="E263" s="2317"/>
      <c r="F263" s="2496" t="str">
        <f>INDEX(PT_DIFFERENTIATION_VTAR,MATCH(A263,PT_DIFFERENTIATION_VTAR_ID,0))</f>
        <v>Тариф на подключение (технологическое присоединение) к централизованной системе горячего водоснабжения</v>
      </c>
      <c r="G263" s="2540" t="str">
        <f>INDEX(PT_DIFFERENTIATION_NTAR,MATCH(B263,PT_DIFFERENTIATION_NTAR_ID,0))</f>
        <v/>
      </c>
      <c r="H263" s="1975"/>
      <c r="I263" s="1852"/>
      <c r="J263" s="1886"/>
      <c r="K263" s="1891"/>
      <c r="L263" s="1975" t="s">
        <v>399</v>
      </c>
      <c r="M263" s="454"/>
      <c r="N263" s="447"/>
      <c r="O263" s="1737"/>
      <c r="P263" s="1737"/>
      <c r="AH263" s="1744">
        <v>0</v>
      </c>
    </row>
    <row s="5387" customFormat="1" customHeight="1" ht="18.75" hidden="1">
      <c r="A264" s="1893"/>
      <c r="B264" s="1893"/>
      <c r="C264" s="482" t="s">
        <v>1236</v>
      </c>
      <c r="D264" s="2575"/>
      <c r="E264" s="2317"/>
      <c r="F264" s="2496"/>
      <c r="G264" s="2540"/>
      <c r="H264" s="1613"/>
      <c r="I264" s="764" t="s">
        <v>1235</v>
      </c>
      <c r="J264" s="684"/>
      <c r="K264" s="1613"/>
      <c r="L264" s="327"/>
      <c r="M264" s="454"/>
      <c r="N264" s="447"/>
      <c r="O264" s="1737"/>
      <c r="P264" s="1737"/>
      <c r="AH264" s="1744">
        <v>0</v>
      </c>
    </row>
    <row s="5387" customFormat="1" customHeight="1" ht="0.75" hidden="1">
      <c r="A265" s="1893"/>
      <c r="B265" s="1893"/>
      <c r="C265" s="482" t="s">
        <v>1245</v>
      </c>
      <c r="D265" s="2575"/>
      <c r="E265" s="2317"/>
      <c r="F265" s="2496"/>
      <c r="G265" s="513"/>
      <c r="H265" s="1613"/>
      <c r="I265" s="764"/>
      <c r="J265" s="684"/>
      <c r="K265" s="1613"/>
      <c r="L265" s="327"/>
      <c r="M265" s="454"/>
      <c r="N265" s="447"/>
      <c r="O265" s="1737"/>
      <c r="P265" s="1737"/>
      <c r="AH265" s="1744">
        <v>0</v>
      </c>
    </row>
    <row s="5387" customFormat="1" customHeight="1" ht="18.75">
      <c r="A266" s="1893" t="s">
        <v>296</v>
      </c>
      <c r="B266" s="1893" t="s">
        <v>297</v>
      </c>
      <c r="C266" s="482"/>
      <c r="D266" s="2575"/>
      <c r="E266" s="2317"/>
      <c r="F266" s="2496" t="str">
        <f>INDEX(PT_DIFFERENTIATION_VTAR,MATCH(A266,PT_DIFFERENTIATION_VTAR_ID,0))</f>
        <v>Тариф на водоотведение</v>
      </c>
      <c r="G266" s="2540" t="str">
        <f>INDEX(PT_DIFFERENTIATION_NTAR,MATCH(B266,PT_DIFFERENTIATION_NTAR_ID,0))</f>
        <v>Тариф на водоотведение</v>
      </c>
      <c r="H266" s="1975"/>
      <c r="I266" s="9674">
        <v>45658.695335648146</v>
      </c>
      <c r="J266" s="9675">
        <v>47118.69545138889</v>
      </c>
      <c r="K266" s="1891">
        <v>0</v>
      </c>
      <c r="L266" s="1975" t="s">
        <v>399</v>
      </c>
      <c r="M266" s="454"/>
      <c r="N266" s="447"/>
      <c r="O266" s="1737"/>
      <c r="P266" s="1737"/>
      <c r="AH266" s="1744">
        <v>0</v>
      </c>
    </row>
    <row s="5387" customFormat="1" customHeight="1" ht="18.75">
      <c r="A267" s="1893"/>
      <c r="B267" s="1893"/>
      <c r="C267" s="482" t="s">
        <v>1236</v>
      </c>
      <c r="D267" s="2575"/>
      <c r="E267" s="2317"/>
      <c r="F267" s="2496"/>
      <c r="G267" s="2540"/>
      <c r="H267" s="1613"/>
      <c r="I267" s="764" t="s">
        <v>1235</v>
      </c>
      <c r="J267" s="684"/>
      <c r="K267" s="1613"/>
      <c r="L267" s="327"/>
      <c r="M267" s="454"/>
      <c r="N267" s="447"/>
      <c r="O267" s="1737"/>
      <c r="P267" s="1737"/>
      <c r="AH267" s="1744">
        <v>0</v>
      </c>
    </row>
    <row s="5387" customFormat="1" customHeight="1" ht="0.75">
      <c r="A268" s="1893"/>
      <c r="B268" s="1893"/>
      <c r="C268" s="482" t="s">
        <v>1245</v>
      </c>
      <c r="D268" s="2575"/>
      <c r="E268" s="2317"/>
      <c r="F268" s="2496"/>
      <c r="G268" s="513"/>
      <c r="H268" s="1613"/>
      <c r="I268" s="764"/>
      <c r="J268" s="684"/>
      <c r="K268" s="1613"/>
      <c r="L268" s="327"/>
      <c r="M268" s="454"/>
      <c r="N268" s="447"/>
      <c r="O268" s="1737"/>
      <c r="P268" s="1737"/>
      <c r="AH268" s="1744">
        <v>0</v>
      </c>
    </row>
    <row s="5387" customFormat="1" customHeight="1" ht="18.75" hidden="1">
      <c r="A269" s="1893" t="s">
        <v>363</v>
      </c>
      <c r="B269" s="1893" t="s">
        <v>364</v>
      </c>
      <c r="C269" s="482"/>
      <c r="D269" s="2575"/>
      <c r="E269" s="2317"/>
      <c r="F269" s="2496" t="str">
        <f>INDEX(PT_DIFFERENTIATION_VTAR,MATCH(A269,PT_DIFFERENTIATION_VTAR_ID,0))</f>
        <v>Тариф на транспортировку сточных вод</v>
      </c>
      <c r="G269" s="2540" t="str">
        <f>INDEX(PT_DIFFERENTIATION_NTAR,MATCH(B269,PT_DIFFERENTIATION_NTAR_ID,0))</f>
        <v/>
      </c>
      <c r="H269" s="1975"/>
      <c r="I269" s="1852"/>
      <c r="J269" s="1886"/>
      <c r="K269" s="1891"/>
      <c r="L269" s="1975" t="s">
        <v>399</v>
      </c>
      <c r="M269" s="454"/>
      <c r="N269" s="447"/>
      <c r="O269" s="1737"/>
      <c r="P269" s="1737"/>
      <c r="AH269" s="1744">
        <v>0</v>
      </c>
    </row>
    <row s="5387" customFormat="1" customHeight="1" ht="18.75" hidden="1">
      <c r="A270" s="1893"/>
      <c r="B270" s="1893"/>
      <c r="C270" s="482" t="s">
        <v>1236</v>
      </c>
      <c r="D270" s="2575"/>
      <c r="E270" s="2317"/>
      <c r="F270" s="2496"/>
      <c r="G270" s="2540"/>
      <c r="H270" s="1613"/>
      <c r="I270" s="764" t="s">
        <v>1235</v>
      </c>
      <c r="J270" s="684"/>
      <c r="K270" s="1613"/>
      <c r="L270" s="327"/>
      <c r="M270" s="454"/>
      <c r="N270" s="447"/>
      <c r="O270" s="1737"/>
      <c r="P270" s="1737"/>
      <c r="AH270" s="1744">
        <v>0</v>
      </c>
    </row>
    <row s="5387" customFormat="1" customHeight="1" ht="0.75" hidden="1">
      <c r="A271" s="1893"/>
      <c r="B271" s="1893"/>
      <c r="C271" s="482" t="s">
        <v>1245</v>
      </c>
      <c r="D271" s="2575"/>
      <c r="E271" s="2317"/>
      <c r="F271" s="2496"/>
      <c r="G271" s="513"/>
      <c r="H271" s="1613"/>
      <c r="I271" s="764"/>
      <c r="J271" s="684"/>
      <c r="K271" s="1613"/>
      <c r="L271" s="327"/>
      <c r="M271" s="454"/>
      <c r="N271" s="447"/>
      <c r="O271" s="1737"/>
      <c r="P271" s="1737"/>
      <c r="AH271" s="1744">
        <v>0</v>
      </c>
    </row>
    <row s="5387" customFormat="1" customHeight="1" ht="18.75" hidden="1">
      <c r="A272" s="1893" t="s">
        <v>368</v>
      </c>
      <c r="B272" s="1893" t="s">
        <v>369</v>
      </c>
      <c r="C272" s="482"/>
      <c r="D272" s="2575"/>
      <c r="E272" s="2317"/>
      <c r="F272" s="2496" t="str">
        <f>INDEX(PT_DIFFERENTIATION_VTAR,MATCH(A272,PT_DIFFERENTIATION_VTAR_ID,0))</f>
        <v>Тариф на подключение (технологическое присоединение) к централизованной системе водоотведения</v>
      </c>
      <c r="G272" s="2540" t="str">
        <f>INDEX(PT_DIFFERENTIATION_NTAR,MATCH(B272,PT_DIFFERENTIATION_NTAR_ID,0))</f>
        <v/>
      </c>
      <c r="H272" s="1975"/>
      <c r="I272" s="1852"/>
      <c r="J272" s="1886"/>
      <c r="K272" s="1891"/>
      <c r="L272" s="1975" t="s">
        <v>399</v>
      </c>
      <c r="M272" s="454"/>
      <c r="N272" s="447"/>
      <c r="O272" s="1737"/>
      <c r="P272" s="1737"/>
      <c r="AH272" s="1744">
        <v>0</v>
      </c>
    </row>
    <row s="5387" customFormat="1" customHeight="1" ht="18.75" hidden="1">
      <c r="A273" s="1893"/>
      <c r="B273" s="1893"/>
      <c r="C273" s="482" t="s">
        <v>1236</v>
      </c>
      <c r="D273" s="2575"/>
      <c r="E273" s="2317"/>
      <c r="F273" s="2496"/>
      <c r="G273" s="2540"/>
      <c r="H273" s="1613"/>
      <c r="I273" s="764" t="s">
        <v>1235</v>
      </c>
      <c r="J273" s="684"/>
      <c r="K273" s="1613"/>
      <c r="L273" s="327"/>
      <c r="M273" s="454"/>
      <c r="N273" s="447"/>
      <c r="O273" s="1737"/>
      <c r="P273" s="1737"/>
      <c r="AH273" s="1744">
        <v>0</v>
      </c>
    </row>
    <row s="5387" customFormat="1" customHeight="1" ht="1.05">
      <c r="A274" s="1893"/>
      <c r="B274" s="1893"/>
      <c r="C274" s="482" t="s">
        <v>1245</v>
      </c>
      <c r="D274" s="2575"/>
      <c r="E274" s="2317"/>
      <c r="F274" s="2496"/>
      <c r="G274" s="513"/>
      <c r="H274" s="1613"/>
      <c r="I274" s="764"/>
      <c r="J274" s="684"/>
      <c r="K274" s="1613"/>
      <c r="L274" s="327"/>
      <c r="M274" s="454"/>
      <c r="N274" s="447"/>
      <c r="O274" s="1737"/>
      <c r="P274" s="1737"/>
      <c r="AH274" s="1744">
        <v>1</v>
      </c>
    </row>
    <row customHeight="1" ht="27.299999999999997">
      <c r="A275" s="1893"/>
      <c r="B275" s="1893"/>
      <c r="D275" s="489"/>
      <c r="E275" s="260" t="s">
        <v>92</v>
      </c>
      <c r="F275"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5" s="2573"/>
      <c r="H275" s="2573"/>
      <c r="I275" s="2573"/>
      <c r="J275" s="2573"/>
      <c r="K275" s="2573"/>
      <c r="L275" s="2573"/>
      <c r="M275" s="410"/>
      <c r="N275" s="447"/>
      <c r="AH275" s="487">
        <v>26</v>
      </c>
    </row>
    <row s="5387" customFormat="1" customHeight="1" ht="60.75" hidden="1">
      <c r="A276" s="1893" t="s">
        <v>186</v>
      </c>
      <c r="B276" s="1893" t="s">
        <v>187</v>
      </c>
      <c r="C276" s="482"/>
      <c r="D276" s="2575"/>
      <c r="E276" s="2317"/>
      <c r="F276" s="2496"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540" t="str">
        <f>INDEX(PT_DIFFERENTIATION_NTAR,MATCH(B276,PT_DIFFERENTIATION_NTAR_ID,0))</f>
        <v/>
      </c>
      <c r="H276" s="1975"/>
      <c r="I276" s="1852"/>
      <c r="J276" s="1886"/>
      <c r="K276" s="1891"/>
      <c r="L276" s="1975" t="s">
        <v>399</v>
      </c>
      <c r="M276"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447"/>
      <c r="O276" s="1737"/>
      <c r="P276" s="1737"/>
      <c r="AH276" s="1744">
        <v>0</v>
      </c>
    </row>
    <row s="5387" customFormat="1" customHeight="1" ht="18.75" hidden="1">
      <c r="A277" s="1893"/>
      <c r="B277" s="1893"/>
      <c r="C277" s="482" t="s">
        <v>1236</v>
      </c>
      <c r="D277" s="2575"/>
      <c r="E277" s="2317"/>
      <c r="F277" s="2496"/>
      <c r="G277" s="2540"/>
      <c r="H277" s="1613"/>
      <c r="I277" s="764" t="s">
        <v>1235</v>
      </c>
      <c r="J277" s="684"/>
      <c r="K277" s="1613"/>
      <c r="L277" s="327"/>
      <c r="M277" s="2283"/>
      <c r="N277" s="447"/>
      <c r="O277" s="1737"/>
      <c r="P277" s="1737"/>
      <c r="AH277" s="1744">
        <v>0</v>
      </c>
    </row>
    <row s="5387" customFormat="1" customHeight="1" ht="0.75" hidden="1">
      <c r="A278" s="1893"/>
      <c r="B278" s="1893"/>
      <c r="C278" s="482" t="s">
        <v>1245</v>
      </c>
      <c r="D278" s="2575"/>
      <c r="E278" s="2317"/>
      <c r="F278" s="2496"/>
      <c r="G278" s="513"/>
      <c r="H278" s="1613"/>
      <c r="I278" s="764"/>
      <c r="J278" s="684"/>
      <c r="K278" s="1613"/>
      <c r="L278" s="327"/>
      <c r="M278" s="2283"/>
      <c r="N278" s="447"/>
      <c r="O278" s="1737"/>
      <c r="P278" s="1737"/>
      <c r="AH278" s="1744">
        <v>0</v>
      </c>
    </row>
    <row s="5387" customFormat="1" customHeight="1" ht="45" hidden="1">
      <c r="A279" s="1893" t="s">
        <v>191</v>
      </c>
      <c r="B279" s="1893" t="s">
        <v>192</v>
      </c>
      <c r="C279" s="482"/>
      <c r="D279" s="2575"/>
      <c r="E279" s="2317"/>
      <c r="F279" s="2496" t="str">
        <f>INDEX(PT_DIFFERENTIATION_VTAR,MATCH(A279,PT_DIFFERENTIATION_VTAR_ID,0))</f>
        <v/>
      </c>
      <c r="G279" s="2540" t="str">
        <f>INDEX(PT_DIFFERENTIATION_NTAR,MATCH(B279,PT_DIFFERENTIATION_NTAR_ID,0))</f>
        <v/>
      </c>
      <c r="H279" s="1975"/>
      <c r="I279" s="1852"/>
      <c r="J279" s="1886"/>
      <c r="K279" s="1891"/>
      <c r="L279" s="1975" t="s">
        <v>399</v>
      </c>
      <c r="M279" s="2284"/>
      <c r="N279" s="447"/>
      <c r="O279" s="1737"/>
      <c r="P279" s="1737"/>
      <c r="AH279" s="1744">
        <v>0</v>
      </c>
    </row>
    <row s="5387" customFormat="1" customHeight="1" ht="18.75" hidden="1">
      <c r="A280" s="1893"/>
      <c r="B280" s="1893"/>
      <c r="C280" s="482" t="s">
        <v>1236</v>
      </c>
      <c r="D280" s="2575"/>
      <c r="E280" s="2317"/>
      <c r="F280" s="2496"/>
      <c r="G280" s="2540"/>
      <c r="H280" s="1613"/>
      <c r="I280" s="764" t="s">
        <v>1235</v>
      </c>
      <c r="J280" s="684"/>
      <c r="K280" s="1613"/>
      <c r="L280" s="327"/>
      <c r="M280" s="1974"/>
      <c r="N280" s="447"/>
      <c r="O280" s="1737"/>
      <c r="P280" s="1737"/>
      <c r="AH280" s="1744">
        <v>0</v>
      </c>
    </row>
    <row s="5387" customFormat="1" customHeight="1" ht="0.75" hidden="1">
      <c r="A281" s="1893"/>
      <c r="B281" s="1893"/>
      <c r="C281" s="482" t="s">
        <v>1245</v>
      </c>
      <c r="D281" s="2575"/>
      <c r="E281" s="2317"/>
      <c r="F281" s="2496"/>
      <c r="G281" s="513"/>
      <c r="H281" s="1613"/>
      <c r="I281" s="764"/>
      <c r="J281" s="684"/>
      <c r="K281" s="1613"/>
      <c r="L281" s="327"/>
      <c r="M281" s="454"/>
      <c r="N281" s="447"/>
      <c r="O281" s="1737"/>
      <c r="P281" s="1737"/>
      <c r="AH281" s="1744">
        <v>0</v>
      </c>
    </row>
    <row s="5387" customFormat="1" customHeight="1" ht="45" hidden="1">
      <c r="A282" s="1893" t="s">
        <v>198</v>
      </c>
      <c r="B282" s="1893" t="s">
        <v>199</v>
      </c>
      <c r="C282" s="482"/>
      <c r="D282" s="2575"/>
      <c r="E282" s="2317"/>
      <c r="F282" s="2496"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540" t="str">
        <f>INDEX(PT_DIFFERENTIATION_NTAR,MATCH(B282,PT_DIFFERENTIATION_NTAR_ID,0))</f>
        <v/>
      </c>
      <c r="H282" s="1975"/>
      <c r="I282" s="1852"/>
      <c r="J282" s="1886"/>
      <c r="K282" s="1891"/>
      <c r="L282" s="1975" t="s">
        <v>399</v>
      </c>
      <c r="M282" s="454"/>
      <c r="N282" s="447"/>
      <c r="O282" s="1737"/>
      <c r="P282" s="1737"/>
      <c r="AH282" s="1744">
        <v>0</v>
      </c>
    </row>
    <row s="5387" customFormat="1" customHeight="1" ht="18.75" hidden="1">
      <c r="A283" s="1893"/>
      <c r="B283" s="1893"/>
      <c r="C283" s="482" t="s">
        <v>1236</v>
      </c>
      <c r="D283" s="2575"/>
      <c r="E283" s="2317"/>
      <c r="F283" s="2496"/>
      <c r="G283" s="2540"/>
      <c r="H283" s="1613"/>
      <c r="I283" s="764" t="s">
        <v>1235</v>
      </c>
      <c r="J283" s="684"/>
      <c r="K283" s="1613"/>
      <c r="L283" s="327"/>
      <c r="M283" s="454"/>
      <c r="N283" s="447"/>
      <c r="O283" s="1737"/>
      <c r="P283" s="1737"/>
      <c r="AH283" s="1744">
        <v>0</v>
      </c>
    </row>
    <row s="5387" customFormat="1" customHeight="1" ht="0.75" hidden="1">
      <c r="A284" s="1893"/>
      <c r="B284" s="1893"/>
      <c r="C284" s="482" t="s">
        <v>1245</v>
      </c>
      <c r="D284" s="2575"/>
      <c r="E284" s="2317"/>
      <c r="F284" s="2496"/>
      <c r="G284" s="513"/>
      <c r="H284" s="1613"/>
      <c r="I284" s="764"/>
      <c r="J284" s="684"/>
      <c r="K284" s="1613"/>
      <c r="L284" s="327"/>
      <c r="M284" s="454"/>
      <c r="N284" s="447"/>
      <c r="O284" s="1737"/>
      <c r="P284" s="1737"/>
      <c r="AH284" s="1744">
        <v>0</v>
      </c>
    </row>
    <row s="5387" customFormat="1" customHeight="1" ht="45" hidden="1">
      <c r="A285" s="1893" t="s">
        <v>204</v>
      </c>
      <c r="B285" s="1893" t="s">
        <v>205</v>
      </c>
      <c r="C285" s="482"/>
      <c r="D285" s="2575"/>
      <c r="E285" s="2317"/>
      <c r="F285" s="2496"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540" t="str">
        <f>INDEX(PT_DIFFERENTIATION_NTAR,MATCH(B285,PT_DIFFERENTIATION_NTAR_ID,0))</f>
        <v/>
      </c>
      <c r="H285" s="1975"/>
      <c r="I285" s="1852"/>
      <c r="J285" s="1886"/>
      <c r="K285" s="1891"/>
      <c r="L285" s="1975" t="s">
        <v>399</v>
      </c>
      <c r="M285" s="454"/>
      <c r="N285" s="447"/>
      <c r="O285" s="1737"/>
      <c r="P285" s="1737"/>
      <c r="AH285" s="1744">
        <v>0</v>
      </c>
    </row>
    <row s="5387" customFormat="1" customHeight="1" ht="18.75" hidden="1">
      <c r="A286" s="1893"/>
      <c r="B286" s="1893"/>
      <c r="C286" s="482" t="s">
        <v>1236</v>
      </c>
      <c r="D286" s="2575"/>
      <c r="E286" s="2317"/>
      <c r="F286" s="2496"/>
      <c r="G286" s="2540"/>
      <c r="H286" s="1613"/>
      <c r="I286" s="764" t="s">
        <v>1235</v>
      </c>
      <c r="J286" s="684"/>
      <c r="K286" s="1613"/>
      <c r="L286" s="327"/>
      <c r="M286" s="454"/>
      <c r="N286" s="447"/>
      <c r="O286" s="1737"/>
      <c r="P286" s="1737"/>
      <c r="AH286" s="1744">
        <v>0</v>
      </c>
    </row>
    <row s="5387" customFormat="1" customHeight="1" ht="0.75" hidden="1">
      <c r="A287" s="1893"/>
      <c r="B287" s="1893"/>
      <c r="C287" s="482" t="s">
        <v>1245</v>
      </c>
      <c r="D287" s="2575"/>
      <c r="E287" s="2317"/>
      <c r="F287" s="2496"/>
      <c r="G287" s="513"/>
      <c r="H287" s="1613"/>
      <c r="I287" s="764"/>
      <c r="J287" s="684"/>
      <c r="K287" s="1613"/>
      <c r="L287" s="327"/>
      <c r="M287" s="454"/>
      <c r="N287" s="447"/>
      <c r="O287" s="1737"/>
      <c r="P287" s="1737"/>
      <c r="AH287" s="1744">
        <v>0</v>
      </c>
    </row>
    <row s="5387" customFormat="1" customHeight="1" ht="18.75" hidden="1">
      <c r="A288" s="1893" t="s">
        <v>210</v>
      </c>
      <c r="B288" s="1893" t="s">
        <v>211</v>
      </c>
      <c r="C288" s="482"/>
      <c r="D288" s="2575"/>
      <c r="E288" s="2317"/>
      <c r="F288" s="2496" t="str">
        <f>INDEX(PT_DIFFERENTIATION_VTAR,MATCH(A288,PT_DIFFERENTIATION_VTAR_ID,0))</f>
        <v>Тарифы на услуги по передаче тепловой энергии</v>
      </c>
      <c r="G288" s="2540" t="str">
        <f>INDEX(PT_DIFFERENTIATION_NTAR,MATCH(B288,PT_DIFFERENTIATION_NTAR_ID,0))</f>
        <v/>
      </c>
      <c r="H288" s="1975"/>
      <c r="I288" s="1852"/>
      <c r="J288" s="1886"/>
      <c r="K288" s="1891"/>
      <c r="L288" s="1975" t="s">
        <v>399</v>
      </c>
      <c r="M288" s="454"/>
      <c r="N288" s="447"/>
      <c r="O288" s="1737"/>
      <c r="P288" s="1737"/>
      <c r="AH288" s="1744">
        <v>0</v>
      </c>
    </row>
    <row s="5387" customFormat="1" customHeight="1" ht="18.75" hidden="1">
      <c r="A289" s="1893"/>
      <c r="B289" s="1893"/>
      <c r="C289" s="482" t="s">
        <v>1236</v>
      </c>
      <c r="D289" s="2575"/>
      <c r="E289" s="2317"/>
      <c r="F289" s="2496"/>
      <c r="G289" s="2540"/>
      <c r="H289" s="1613"/>
      <c r="I289" s="764" t="s">
        <v>1235</v>
      </c>
      <c r="J289" s="684"/>
      <c r="K289" s="1613"/>
      <c r="L289" s="327"/>
      <c r="M289" s="454"/>
      <c r="N289" s="447"/>
      <c r="O289" s="1737"/>
      <c r="P289" s="1737"/>
      <c r="AH289" s="1744">
        <v>0</v>
      </c>
    </row>
    <row s="5387" customFormat="1" customHeight="1" ht="0.75" hidden="1">
      <c r="A290" s="1893"/>
      <c r="B290" s="1893"/>
      <c r="C290" s="482" t="s">
        <v>1245</v>
      </c>
      <c r="D290" s="2575"/>
      <c r="E290" s="2317"/>
      <c r="F290" s="2496"/>
      <c r="G290" s="513"/>
      <c r="H290" s="1613"/>
      <c r="I290" s="764"/>
      <c r="J290" s="684"/>
      <c r="K290" s="1613"/>
      <c r="L290" s="327"/>
      <c r="M290" s="454"/>
      <c r="N290" s="447"/>
      <c r="O290" s="1737"/>
      <c r="P290" s="1737"/>
      <c r="AH290" s="1744">
        <v>0</v>
      </c>
    </row>
    <row s="5387" customFormat="1" customHeight="1" ht="18.75" hidden="1">
      <c r="A291" s="1893" t="s">
        <v>216</v>
      </c>
      <c r="B291" s="1893" t="s">
        <v>217</v>
      </c>
      <c r="C291" s="482"/>
      <c r="D291" s="2575"/>
      <c r="E291" s="2317"/>
      <c r="F291" s="2496" t="str">
        <f>INDEX(PT_DIFFERENTIATION_VTAR,MATCH(A291,PT_DIFFERENTIATION_VTAR_ID,0))</f>
        <v>Тарифы на услуги по передаче теплоносителя</v>
      </c>
      <c r="G291" s="2540" t="str">
        <f>INDEX(PT_DIFFERENTIATION_NTAR,MATCH(B291,PT_DIFFERENTIATION_NTAR_ID,0))</f>
        <v/>
      </c>
      <c r="H291" s="1975"/>
      <c r="I291" s="1852"/>
      <c r="J291" s="1886"/>
      <c r="K291" s="1891"/>
      <c r="L291" s="1975" t="s">
        <v>399</v>
      </c>
      <c r="M291" s="454"/>
      <c r="N291" s="447"/>
      <c r="O291" s="1737"/>
      <c r="P291" s="1737"/>
      <c r="AH291" s="1744">
        <v>0</v>
      </c>
    </row>
    <row s="5387" customFormat="1" customHeight="1" ht="18.75" hidden="1">
      <c r="A292" s="1893"/>
      <c r="B292" s="1893"/>
      <c r="C292" s="482" t="s">
        <v>1236</v>
      </c>
      <c r="D292" s="2575"/>
      <c r="E292" s="2317"/>
      <c r="F292" s="2496"/>
      <c r="G292" s="2540"/>
      <c r="H292" s="1613"/>
      <c r="I292" s="764" t="s">
        <v>1235</v>
      </c>
      <c r="J292" s="684"/>
      <c r="K292" s="1613"/>
      <c r="L292" s="327"/>
      <c r="M292" s="454"/>
      <c r="N292" s="447"/>
      <c r="O292" s="1737"/>
      <c r="P292" s="1737"/>
      <c r="AH292" s="1744">
        <v>0</v>
      </c>
    </row>
    <row s="5387" customFormat="1" customHeight="1" ht="0.75" hidden="1">
      <c r="A293" s="1893"/>
      <c r="B293" s="1893"/>
      <c r="C293" s="482" t="s">
        <v>1245</v>
      </c>
      <c r="D293" s="2575"/>
      <c r="E293" s="2317"/>
      <c r="F293" s="2496"/>
      <c r="G293" s="513"/>
      <c r="H293" s="1613"/>
      <c r="I293" s="764"/>
      <c r="J293" s="684"/>
      <c r="K293" s="1613"/>
      <c r="L293" s="327"/>
      <c r="M293" s="454"/>
      <c r="N293" s="447"/>
      <c r="O293" s="1737"/>
      <c r="P293" s="1737"/>
      <c r="AH293" s="1744">
        <v>0</v>
      </c>
    </row>
    <row s="5387" customFormat="1" customHeight="1" ht="18.75" hidden="1">
      <c r="A294" s="1893" t="s">
        <v>222</v>
      </c>
      <c r="B294" s="1893" t="s">
        <v>223</v>
      </c>
      <c r="C294" s="482"/>
      <c r="D294" s="2575"/>
      <c r="E294" s="2317"/>
      <c r="F294" s="2496"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540" t="str">
        <f>INDEX(PT_DIFFERENTIATION_NTAR,MATCH(B294,PT_DIFFERENTIATION_NTAR_ID,0))</f>
        <v/>
      </c>
      <c r="H294" s="1975"/>
      <c r="I294" s="1852"/>
      <c r="J294" s="1886"/>
      <c r="K294" s="1891"/>
      <c r="L294" s="1975" t="s">
        <v>399</v>
      </c>
      <c r="M294" s="454"/>
      <c r="N294" s="447"/>
      <c r="O294" s="1737"/>
      <c r="P294" s="1737"/>
      <c r="AH294" s="1744">
        <v>0</v>
      </c>
    </row>
    <row s="5387" customFormat="1" customHeight="1" ht="18.75" hidden="1">
      <c r="A295" s="1893"/>
      <c r="B295" s="1893"/>
      <c r="C295" s="482" t="s">
        <v>1236</v>
      </c>
      <c r="D295" s="2575"/>
      <c r="E295" s="2317"/>
      <c r="F295" s="2496"/>
      <c r="G295" s="2540"/>
      <c r="H295" s="1613"/>
      <c r="I295" s="764" t="s">
        <v>1235</v>
      </c>
      <c r="J295" s="684"/>
      <c r="K295" s="1613"/>
      <c r="L295" s="327"/>
      <c r="M295" s="454"/>
      <c r="N295" s="447"/>
      <c r="O295" s="1737"/>
      <c r="P295" s="1737"/>
      <c r="AH295" s="1744">
        <v>0</v>
      </c>
    </row>
    <row s="5387" customFormat="1" customHeight="1" ht="0.75" hidden="1">
      <c r="A296" s="1893"/>
      <c r="B296" s="1893"/>
      <c r="C296" s="482" t="s">
        <v>1245</v>
      </c>
      <c r="D296" s="2575"/>
      <c r="E296" s="2317"/>
      <c r="F296" s="2496"/>
      <c r="G296" s="513"/>
      <c r="H296" s="1613"/>
      <c r="I296" s="764"/>
      <c r="J296" s="684"/>
      <c r="K296" s="1613"/>
      <c r="L296" s="327"/>
      <c r="M296" s="454"/>
      <c r="N296" s="447"/>
      <c r="O296" s="1737"/>
      <c r="P296" s="1737"/>
      <c r="AH296" s="1744">
        <v>0</v>
      </c>
    </row>
    <row s="5387" customFormat="1" customHeight="1" ht="18.75" hidden="1">
      <c r="A297" s="1893" t="s">
        <v>228</v>
      </c>
      <c r="B297" s="1893" t="s">
        <v>229</v>
      </c>
      <c r="C297" s="482"/>
      <c r="D297" s="2575"/>
      <c r="E297" s="2317"/>
      <c r="F297" s="2496" t="str">
        <f>INDEX(PT_DIFFERENTIATION_VTAR,MATCH(A297,PT_DIFFERENTIATION_VTAR_ID,0))</f>
        <v>Плата за подключение (технологическое присоединение) к системе теплоснабжения</v>
      </c>
      <c r="G297" s="2540" t="str">
        <f>INDEX(PT_DIFFERENTIATION_NTAR,MATCH(B297,PT_DIFFERENTIATION_NTAR_ID,0))</f>
        <v/>
      </c>
      <c r="H297" s="1975"/>
      <c r="I297" s="1852"/>
      <c r="J297" s="1886"/>
      <c r="K297" s="1891"/>
      <c r="L297" s="1975" t="s">
        <v>399</v>
      </c>
      <c r="M297" s="454"/>
      <c r="N297" s="447"/>
      <c r="O297" s="1737"/>
      <c r="P297" s="1737"/>
      <c r="AH297" s="1744">
        <v>0</v>
      </c>
    </row>
    <row s="5387" customFormat="1" customHeight="1" ht="18.75" hidden="1">
      <c r="A298" s="1893"/>
      <c r="B298" s="1893"/>
      <c r="C298" s="482" t="s">
        <v>1236</v>
      </c>
      <c r="D298" s="2575"/>
      <c r="E298" s="2317"/>
      <c r="F298" s="2496"/>
      <c r="G298" s="2540"/>
      <c r="H298" s="1613"/>
      <c r="I298" s="764" t="s">
        <v>1235</v>
      </c>
      <c r="J298" s="684"/>
      <c r="K298" s="1613"/>
      <c r="L298" s="327"/>
      <c r="M298" s="454"/>
      <c r="N298" s="447"/>
      <c r="O298" s="1737"/>
      <c r="P298" s="1737"/>
      <c r="AH298" s="1744">
        <v>0</v>
      </c>
    </row>
    <row s="5387" customFormat="1" customHeight="1" ht="0.75" hidden="1">
      <c r="A299" s="1893"/>
      <c r="B299" s="1893"/>
      <c r="C299" s="482" t="s">
        <v>1245</v>
      </c>
      <c r="D299" s="2575"/>
      <c r="E299" s="2317"/>
      <c r="F299" s="2496"/>
      <c r="G299" s="513"/>
      <c r="H299" s="1613"/>
      <c r="I299" s="764"/>
      <c r="J299" s="684"/>
      <c r="K299" s="1613"/>
      <c r="L299" s="327"/>
      <c r="M299" s="454"/>
      <c r="N299" s="447"/>
      <c r="O299" s="1737"/>
      <c r="P299" s="1737"/>
      <c r="AH299" s="1744">
        <v>0</v>
      </c>
    </row>
    <row s="5387" customFormat="1" customHeight="1" ht="18.75" hidden="1">
      <c r="A300" s="1893" t="s">
        <v>234</v>
      </c>
      <c r="B300" s="1893" t="s">
        <v>235</v>
      </c>
      <c r="C300" s="482"/>
      <c r="D300" s="2575"/>
      <c r="E300" s="2317"/>
      <c r="F300" s="2496" t="str">
        <f>INDEX(PT_DIFFERENTIATION_VTAR,MATCH(A300,PT_DIFFERENTIATION_VTAR_ID,0))</f>
        <v>Плата за подключение (технологическое присоединение) к системе теплоснабжения (индивидуальная)</v>
      </c>
      <c r="G300" s="2540" t="str">
        <f>INDEX(PT_DIFFERENTIATION_NTAR,MATCH(B300,PT_DIFFERENTIATION_NTAR_ID,0))</f>
        <v/>
      </c>
      <c r="H300" s="2102"/>
      <c r="I300" s="1852"/>
      <c r="J300" s="1886"/>
      <c r="K300" s="1891"/>
      <c r="L300" s="2102" t="s">
        <v>399</v>
      </c>
      <c r="M300" s="454"/>
      <c r="N300" s="447"/>
      <c r="O300" s="1737"/>
      <c r="P300" s="1737"/>
      <c r="AH300" s="1744">
        <v>0</v>
      </c>
    </row>
    <row s="5387" customFormat="1" customHeight="1" ht="18.75" hidden="1">
      <c r="A301" s="1893"/>
      <c r="B301" s="1893"/>
      <c r="C301" s="482" t="s">
        <v>1236</v>
      </c>
      <c r="D301" s="2575"/>
      <c r="E301" s="2317"/>
      <c r="F301" s="2496"/>
      <c r="G301" s="2540"/>
      <c r="H301" s="1613"/>
      <c r="I301" s="764" t="s">
        <v>1235</v>
      </c>
      <c r="J301" s="684"/>
      <c r="K301" s="1613"/>
      <c r="L301" s="327"/>
      <c r="M301" s="454"/>
      <c r="N301" s="447"/>
      <c r="O301" s="1737"/>
      <c r="P301" s="1737"/>
      <c r="AH301" s="1744">
        <v>0</v>
      </c>
    </row>
    <row s="5387" customFormat="1" customHeight="1" ht="0.75" hidden="1">
      <c r="A302" s="1893"/>
      <c r="B302" s="1893"/>
      <c r="C302" s="482" t="s">
        <v>1245</v>
      </c>
      <c r="D302" s="2575"/>
      <c r="E302" s="2317"/>
      <c r="F302" s="2496"/>
      <c r="G302" s="513"/>
      <c r="H302" s="1613"/>
      <c r="I302" s="764"/>
      <c r="J302" s="684"/>
      <c r="K302" s="1613"/>
      <c r="L302" s="327"/>
      <c r="M302" s="454"/>
      <c r="N302" s="447"/>
      <c r="O302" s="1737"/>
      <c r="P302" s="1737"/>
      <c r="AH302" s="1744">
        <v>0</v>
      </c>
    </row>
    <row s="5387" customFormat="1" customHeight="1" ht="18.75" hidden="1">
      <c r="A303" s="1893" t="s">
        <v>254</v>
      </c>
      <c r="B303" s="1893" t="s">
        <v>255</v>
      </c>
      <c r="C303" s="482"/>
      <c r="D303" s="2575"/>
      <c r="E303" s="2317"/>
      <c r="F303" s="2496" t="str">
        <f>INDEX(PT_DIFFERENTIATION_VTAR,MATCH(A303,PT_DIFFERENTIATION_VTAR_ID,0))</f>
        <v>Тариф на питьевую воду (питьевое водоснабжение)</v>
      </c>
      <c r="G303" s="2540" t="str">
        <f>INDEX(PT_DIFFERENTIATION_NTAR,MATCH(B303,PT_DIFFERENTIATION_NTAR_ID,0))</f>
        <v/>
      </c>
      <c r="H303" s="1975"/>
      <c r="I303" s="1852"/>
      <c r="J303" s="1886"/>
      <c r="K303" s="1891"/>
      <c r="L303" s="1975" t="s">
        <v>399</v>
      </c>
      <c r="M303" s="454"/>
      <c r="N303" s="447"/>
      <c r="O303" s="1737"/>
      <c r="P303" s="1737"/>
      <c r="AH303" s="1744">
        <v>0</v>
      </c>
    </row>
    <row s="5387" customFormat="1" customHeight="1" ht="18.75" hidden="1">
      <c r="A304" s="1893"/>
      <c r="B304" s="1893"/>
      <c r="C304" s="482" t="s">
        <v>1236</v>
      </c>
      <c r="D304" s="2575"/>
      <c r="E304" s="2317"/>
      <c r="F304" s="2496"/>
      <c r="G304" s="2540"/>
      <c r="H304" s="1613"/>
      <c r="I304" s="764" t="s">
        <v>1235</v>
      </c>
      <c r="J304" s="684"/>
      <c r="K304" s="1613"/>
      <c r="L304" s="327"/>
      <c r="M304" s="454"/>
      <c r="N304" s="447"/>
      <c r="O304" s="1737"/>
      <c r="P304" s="1737"/>
      <c r="AH304" s="1744">
        <v>0</v>
      </c>
    </row>
    <row s="5387" customFormat="1" customHeight="1" ht="0.75" hidden="1">
      <c r="A305" s="1893"/>
      <c r="B305" s="1893"/>
      <c r="C305" s="482" t="s">
        <v>1245</v>
      </c>
      <c r="D305" s="2575"/>
      <c r="E305" s="2317"/>
      <c r="F305" s="2496"/>
      <c r="G305" s="513"/>
      <c r="H305" s="1613"/>
      <c r="I305" s="764"/>
      <c r="J305" s="684"/>
      <c r="K305" s="1613"/>
      <c r="L305" s="327"/>
      <c r="M305" s="454"/>
      <c r="N305" s="447"/>
      <c r="O305" s="1737"/>
      <c r="P305" s="1737"/>
      <c r="AH305" s="1744">
        <v>0</v>
      </c>
    </row>
    <row s="5387" customFormat="1" customHeight="1" ht="18.75" hidden="1">
      <c r="A306" s="1893" t="s">
        <v>259</v>
      </c>
      <c r="B306" s="1893" t="s">
        <v>260</v>
      </c>
      <c r="C306" s="482"/>
      <c r="D306" s="2575"/>
      <c r="E306" s="2317"/>
      <c r="F306" s="2496" t="str">
        <f>INDEX(PT_DIFFERENTIATION_VTAR,MATCH(A306,PT_DIFFERENTIATION_VTAR_ID,0))</f>
        <v>Тариф на техническую воду</v>
      </c>
      <c r="G306" s="2540" t="str">
        <f>INDEX(PT_DIFFERENTIATION_NTAR,MATCH(B306,PT_DIFFERENTIATION_NTAR_ID,0))</f>
        <v/>
      </c>
      <c r="H306" s="1975"/>
      <c r="I306" s="1852"/>
      <c r="J306" s="1886"/>
      <c r="K306" s="1891"/>
      <c r="L306" s="1975" t="s">
        <v>399</v>
      </c>
      <c r="M306" s="454"/>
      <c r="N306" s="447"/>
      <c r="O306" s="1737"/>
      <c r="P306" s="1737"/>
      <c r="AH306" s="1744">
        <v>0</v>
      </c>
    </row>
    <row s="5387" customFormat="1" customHeight="1" ht="18.75" hidden="1">
      <c r="A307" s="1893"/>
      <c r="B307" s="1893"/>
      <c r="C307" s="482" t="s">
        <v>1236</v>
      </c>
      <c r="D307" s="2575"/>
      <c r="E307" s="2317"/>
      <c r="F307" s="2496"/>
      <c r="G307" s="2540"/>
      <c r="H307" s="1613"/>
      <c r="I307" s="764" t="s">
        <v>1235</v>
      </c>
      <c r="J307" s="684"/>
      <c r="K307" s="1613"/>
      <c r="L307" s="327"/>
      <c r="M307" s="454"/>
      <c r="N307" s="447"/>
      <c r="O307" s="1737"/>
      <c r="P307" s="1737"/>
      <c r="AH307" s="1744">
        <v>0</v>
      </c>
    </row>
    <row s="5387" customFormat="1" customHeight="1" ht="0.75" hidden="1">
      <c r="A308" s="1893"/>
      <c r="B308" s="1893"/>
      <c r="C308" s="482" t="s">
        <v>1245</v>
      </c>
      <c r="D308" s="2575"/>
      <c r="E308" s="2317"/>
      <c r="F308" s="2496"/>
      <c r="G308" s="513"/>
      <c r="H308" s="1613"/>
      <c r="I308" s="764"/>
      <c r="J308" s="684"/>
      <c r="K308" s="1613"/>
      <c r="L308" s="327"/>
      <c r="M308" s="454"/>
      <c r="N308" s="447"/>
      <c r="O308" s="1737"/>
      <c r="P308" s="1737"/>
      <c r="AH308" s="1744">
        <v>0</v>
      </c>
    </row>
    <row s="5387" customFormat="1" customHeight="1" ht="18.75" hidden="1">
      <c r="A309" s="1893" t="s">
        <v>264</v>
      </c>
      <c r="B309" s="1893" t="s">
        <v>265</v>
      </c>
      <c r="C309" s="482"/>
      <c r="D309" s="2575"/>
      <c r="E309" s="2317"/>
      <c r="F309" s="2496" t="str">
        <f>INDEX(PT_DIFFERENTIATION_VTAR,MATCH(A309,PT_DIFFERENTIATION_VTAR_ID,0))</f>
        <v>Тариф на транспортировку воды</v>
      </c>
      <c r="G309" s="2540" t="str">
        <f>INDEX(PT_DIFFERENTIATION_NTAR,MATCH(B309,PT_DIFFERENTIATION_NTAR_ID,0))</f>
        <v/>
      </c>
      <c r="H309" s="1975"/>
      <c r="I309" s="1852"/>
      <c r="J309" s="1886"/>
      <c r="K309" s="1891"/>
      <c r="L309" s="1975" t="s">
        <v>399</v>
      </c>
      <c r="M309" s="454"/>
      <c r="N309" s="447"/>
      <c r="O309" s="1737"/>
      <c r="P309" s="1737"/>
      <c r="AH309" s="1744">
        <v>0</v>
      </c>
    </row>
    <row s="5387" customFormat="1" customHeight="1" ht="18.75" hidden="1">
      <c r="A310" s="1893"/>
      <c r="B310" s="1893"/>
      <c r="C310" s="482" t="s">
        <v>1236</v>
      </c>
      <c r="D310" s="2575"/>
      <c r="E310" s="2317"/>
      <c r="F310" s="2496"/>
      <c r="G310" s="2540"/>
      <c r="H310" s="1613"/>
      <c r="I310" s="764" t="s">
        <v>1235</v>
      </c>
      <c r="J310" s="684"/>
      <c r="K310" s="1613"/>
      <c r="L310" s="327"/>
      <c r="M310" s="454"/>
      <c r="N310" s="447"/>
      <c r="O310" s="1737"/>
      <c r="P310" s="1737"/>
      <c r="AH310" s="1744">
        <v>0</v>
      </c>
    </row>
    <row s="5387" customFormat="1" customHeight="1" ht="0.75" hidden="1">
      <c r="A311" s="1893"/>
      <c r="B311" s="1893"/>
      <c r="C311" s="482" t="s">
        <v>1245</v>
      </c>
      <c r="D311" s="2575"/>
      <c r="E311" s="2317"/>
      <c r="F311" s="2496"/>
      <c r="G311" s="513"/>
      <c r="H311" s="1613"/>
      <c r="I311" s="764"/>
      <c r="J311" s="684"/>
      <c r="K311" s="1613"/>
      <c r="L311" s="327"/>
      <c r="M311" s="454"/>
      <c r="N311" s="447"/>
      <c r="O311" s="1737"/>
      <c r="P311" s="1737"/>
      <c r="AH311" s="1744">
        <v>0</v>
      </c>
    </row>
    <row s="5387" customFormat="1" customHeight="1" ht="18.75" hidden="1">
      <c r="A312" s="1893" t="s">
        <v>269</v>
      </c>
      <c r="B312" s="1893" t="s">
        <v>270</v>
      </c>
      <c r="C312" s="482"/>
      <c r="D312" s="2575"/>
      <c r="E312" s="2317"/>
      <c r="F312" s="2496" t="str">
        <f>INDEX(PT_DIFFERENTIATION_VTAR,MATCH(A312,PT_DIFFERENTIATION_VTAR_ID,0))</f>
        <v>Тариф на подвоз воды</v>
      </c>
      <c r="G312" s="2540" t="str">
        <f>INDEX(PT_DIFFERENTIATION_NTAR,MATCH(B312,PT_DIFFERENTIATION_NTAR_ID,0))</f>
        <v/>
      </c>
      <c r="H312" s="1975"/>
      <c r="I312" s="1852"/>
      <c r="J312" s="1886"/>
      <c r="K312" s="1891"/>
      <c r="L312" s="1975" t="s">
        <v>399</v>
      </c>
      <c r="M312" s="454"/>
      <c r="N312" s="447"/>
      <c r="O312" s="1737"/>
      <c r="P312" s="1737"/>
      <c r="AH312" s="1744">
        <v>0</v>
      </c>
    </row>
    <row s="5387" customFormat="1" customHeight="1" ht="18.75" hidden="1">
      <c r="A313" s="1893"/>
      <c r="B313" s="1893"/>
      <c r="C313" s="482" t="s">
        <v>1236</v>
      </c>
      <c r="D313" s="2575"/>
      <c r="E313" s="2317"/>
      <c r="F313" s="2496"/>
      <c r="G313" s="2540"/>
      <c r="H313" s="1613"/>
      <c r="I313" s="764" t="s">
        <v>1235</v>
      </c>
      <c r="J313" s="684"/>
      <c r="K313" s="1613"/>
      <c r="L313" s="327"/>
      <c r="M313" s="454"/>
      <c r="N313" s="447"/>
      <c r="O313" s="1737"/>
      <c r="P313" s="1737"/>
      <c r="AH313" s="1744">
        <v>0</v>
      </c>
    </row>
    <row s="5387" customFormat="1" customHeight="1" ht="0.75" hidden="1">
      <c r="A314" s="1893"/>
      <c r="B314" s="1893"/>
      <c r="C314" s="482" t="s">
        <v>1245</v>
      </c>
      <c r="D314" s="2575"/>
      <c r="E314" s="2317"/>
      <c r="F314" s="2496"/>
      <c r="G314" s="513"/>
      <c r="H314" s="1613"/>
      <c r="I314" s="764"/>
      <c r="J314" s="684"/>
      <c r="K314" s="1613"/>
      <c r="L314" s="327"/>
      <c r="M314" s="454"/>
      <c r="N314" s="447"/>
      <c r="O314" s="1737"/>
      <c r="P314" s="1737"/>
      <c r="AH314" s="1744">
        <v>0</v>
      </c>
    </row>
    <row s="5387" customFormat="1" customHeight="1" ht="18.75" hidden="1">
      <c r="A315" s="1893" t="s">
        <v>274</v>
      </c>
      <c r="B315" s="1893" t="s">
        <v>275</v>
      </c>
      <c r="C315" s="482"/>
      <c r="D315" s="2575"/>
      <c r="E315" s="2317"/>
      <c r="F315" s="2496"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540" t="str">
        <f>INDEX(PT_DIFFERENTIATION_NTAR,MATCH(B315,PT_DIFFERENTIATION_NTAR_ID,0))</f>
        <v/>
      </c>
      <c r="H315" s="1975"/>
      <c r="I315" s="1852"/>
      <c r="J315" s="1886"/>
      <c r="K315" s="1891"/>
      <c r="L315" s="1975" t="s">
        <v>399</v>
      </c>
      <c r="M315" s="454"/>
      <c r="N315" s="447"/>
      <c r="O315" s="1737"/>
      <c r="P315" s="1737"/>
      <c r="AH315" s="1744">
        <v>0</v>
      </c>
    </row>
    <row s="5387" customFormat="1" customHeight="1" ht="18.75" hidden="1">
      <c r="A316" s="1893"/>
      <c r="B316" s="1893"/>
      <c r="C316" s="482" t="s">
        <v>1236</v>
      </c>
      <c r="D316" s="2575"/>
      <c r="E316" s="2317"/>
      <c r="F316" s="2496"/>
      <c r="G316" s="2540"/>
      <c r="H316" s="1613"/>
      <c r="I316" s="764" t="s">
        <v>1235</v>
      </c>
      <c r="J316" s="684"/>
      <c r="K316" s="1613"/>
      <c r="L316" s="327"/>
      <c r="M316" s="454"/>
      <c r="N316" s="447"/>
      <c r="O316" s="1737"/>
      <c r="P316" s="1737"/>
      <c r="AH316" s="1744">
        <v>0</v>
      </c>
    </row>
    <row s="5387" customFormat="1" customHeight="1" ht="0.75" hidden="1">
      <c r="A317" s="1893"/>
      <c r="B317" s="1893"/>
      <c r="C317" s="482" t="s">
        <v>1245</v>
      </c>
      <c r="D317" s="2575"/>
      <c r="E317" s="2317"/>
      <c r="F317" s="2496"/>
      <c r="G317" s="513"/>
      <c r="H317" s="1613"/>
      <c r="I317" s="764"/>
      <c r="J317" s="684"/>
      <c r="K317" s="1613"/>
      <c r="L317" s="327"/>
      <c r="M317" s="454"/>
      <c r="N317" s="447"/>
      <c r="O317" s="1737"/>
      <c r="P317" s="1737"/>
      <c r="AH317" s="1744">
        <v>0</v>
      </c>
    </row>
    <row s="5387" customFormat="1" customHeight="1" ht="18.75" hidden="1">
      <c r="A318" s="1893" t="s">
        <v>279</v>
      </c>
      <c r="B318" s="1893" t="s">
        <v>280</v>
      </c>
      <c r="C318" s="482"/>
      <c r="D318" s="2575"/>
      <c r="E318" s="2317"/>
      <c r="F318" s="2496" t="str">
        <f>INDEX(PT_DIFFERENTIATION_VTAR,MATCH(A318,PT_DIFFERENTIATION_VTAR_ID,0))</f>
        <v>Тариф на горячую воду (горячее водоснабжение)</v>
      </c>
      <c r="G318" s="2540" t="str">
        <f>INDEX(PT_DIFFERENTIATION_NTAR,MATCH(B318,PT_DIFFERENTIATION_NTAR_ID,0))</f>
        <v/>
      </c>
      <c r="H318" s="1975"/>
      <c r="I318" s="1852"/>
      <c r="J318" s="1886"/>
      <c r="K318" s="1891"/>
      <c r="L318" s="1975" t="s">
        <v>399</v>
      </c>
      <c r="M318" s="454"/>
      <c r="N318" s="447"/>
      <c r="O318" s="1737"/>
      <c r="P318" s="1737"/>
      <c r="AH318" s="1744">
        <v>0</v>
      </c>
    </row>
    <row s="5387" customFormat="1" customHeight="1" ht="18.75" hidden="1">
      <c r="A319" s="1893"/>
      <c r="B319" s="1893"/>
      <c r="C319" s="482" t="s">
        <v>1236</v>
      </c>
      <c r="D319" s="2575"/>
      <c r="E319" s="2317"/>
      <c r="F319" s="2496"/>
      <c r="G319" s="2540"/>
      <c r="H319" s="1613"/>
      <c r="I319" s="764" t="s">
        <v>1235</v>
      </c>
      <c r="J319" s="684"/>
      <c r="K319" s="1613"/>
      <c r="L319" s="327"/>
      <c r="M319" s="454"/>
      <c r="N319" s="447"/>
      <c r="O319" s="1737"/>
      <c r="P319" s="1737"/>
      <c r="AH319" s="1744">
        <v>0</v>
      </c>
    </row>
    <row s="5387" customFormat="1" customHeight="1" ht="0.75" hidden="1">
      <c r="A320" s="1893"/>
      <c r="B320" s="1893"/>
      <c r="C320" s="482" t="s">
        <v>1245</v>
      </c>
      <c r="D320" s="2575"/>
      <c r="E320" s="2317"/>
      <c r="F320" s="2496"/>
      <c r="G320" s="513"/>
      <c r="H320" s="1613"/>
      <c r="I320" s="764"/>
      <c r="J320" s="684"/>
      <c r="K320" s="1613"/>
      <c r="L320" s="327"/>
      <c r="M320" s="454"/>
      <c r="N320" s="447"/>
      <c r="O320" s="1737"/>
      <c r="P320" s="1737"/>
      <c r="AH320" s="1744">
        <v>0</v>
      </c>
    </row>
    <row s="5387" customFormat="1" customHeight="1" ht="18.75" hidden="1">
      <c r="A321" s="1893" t="s">
        <v>284</v>
      </c>
      <c r="B321" s="1893" t="s">
        <v>285</v>
      </c>
      <c r="C321" s="482"/>
      <c r="D321" s="2575"/>
      <c r="E321" s="2317"/>
      <c r="F321" s="2496" t="str">
        <f>INDEX(PT_DIFFERENTIATION_VTAR,MATCH(A321,PT_DIFFERENTIATION_VTAR_ID,0))</f>
        <v>Тариф на транспортировку горячей воды</v>
      </c>
      <c r="G321" s="2540" t="str">
        <f>INDEX(PT_DIFFERENTIATION_NTAR,MATCH(B321,PT_DIFFERENTIATION_NTAR_ID,0))</f>
        <v/>
      </c>
      <c r="H321" s="1975"/>
      <c r="I321" s="1852"/>
      <c r="J321" s="1886"/>
      <c r="K321" s="1891"/>
      <c r="L321" s="1975" t="s">
        <v>399</v>
      </c>
      <c r="M321" s="454"/>
      <c r="N321" s="447"/>
      <c r="O321" s="1737"/>
      <c r="P321" s="1737"/>
      <c r="AH321" s="1744">
        <v>0</v>
      </c>
    </row>
    <row s="5387" customFormat="1" customHeight="1" ht="18.75" hidden="1">
      <c r="A322" s="1893"/>
      <c r="B322" s="1893"/>
      <c r="C322" s="482" t="s">
        <v>1236</v>
      </c>
      <c r="D322" s="2575"/>
      <c r="E322" s="2317"/>
      <c r="F322" s="2496"/>
      <c r="G322" s="2540"/>
      <c r="H322" s="1613"/>
      <c r="I322" s="764" t="s">
        <v>1235</v>
      </c>
      <c r="J322" s="684"/>
      <c r="K322" s="1613"/>
      <c r="L322" s="327"/>
      <c r="M322" s="454"/>
      <c r="N322" s="447"/>
      <c r="O322" s="1737"/>
      <c r="P322" s="1737"/>
      <c r="AH322" s="1744">
        <v>0</v>
      </c>
    </row>
    <row s="5387" customFormat="1" customHeight="1" ht="0.75" hidden="1">
      <c r="A323" s="1893"/>
      <c r="B323" s="1893"/>
      <c r="C323" s="482" t="s">
        <v>1245</v>
      </c>
      <c r="D323" s="2575"/>
      <c r="E323" s="2317"/>
      <c r="F323" s="2496"/>
      <c r="G323" s="513"/>
      <c r="H323" s="1613"/>
      <c r="I323" s="764"/>
      <c r="J323" s="684"/>
      <c r="K323" s="1613"/>
      <c r="L323" s="327"/>
      <c r="M323" s="454"/>
      <c r="N323" s="447"/>
      <c r="O323" s="1737"/>
      <c r="P323" s="1737"/>
      <c r="AH323" s="1744">
        <v>0</v>
      </c>
    </row>
    <row s="5387" customFormat="1" customHeight="1" ht="18.75" hidden="1">
      <c r="A324" s="1893" t="s">
        <v>289</v>
      </c>
      <c r="B324" s="1893" t="s">
        <v>290</v>
      </c>
      <c r="C324" s="482"/>
      <c r="D324" s="2575"/>
      <c r="E324" s="2317"/>
      <c r="F324" s="2496" t="str">
        <f>INDEX(PT_DIFFERENTIATION_VTAR,MATCH(A324,PT_DIFFERENTIATION_VTAR_ID,0))</f>
        <v>Тариф на подключение (технологическое присоединение) к централизованной системе горячего водоснабжения</v>
      </c>
      <c r="G324" s="2540" t="str">
        <f>INDEX(PT_DIFFERENTIATION_NTAR,MATCH(B324,PT_DIFFERENTIATION_NTAR_ID,0))</f>
        <v/>
      </c>
      <c r="H324" s="1975"/>
      <c r="I324" s="1852"/>
      <c r="J324" s="1886"/>
      <c r="K324" s="1891"/>
      <c r="L324" s="1975" t="s">
        <v>399</v>
      </c>
      <c r="M324" s="454"/>
      <c r="N324" s="447"/>
      <c r="O324" s="1737"/>
      <c r="P324" s="1737"/>
      <c r="AH324" s="1744">
        <v>0</v>
      </c>
    </row>
    <row s="5387" customFormat="1" customHeight="1" ht="18.75" hidden="1">
      <c r="A325" s="1893"/>
      <c r="B325" s="1893"/>
      <c r="C325" s="482" t="s">
        <v>1236</v>
      </c>
      <c r="D325" s="2575"/>
      <c r="E325" s="2317"/>
      <c r="F325" s="2496"/>
      <c r="G325" s="2540"/>
      <c r="H325" s="1613"/>
      <c r="I325" s="764" t="s">
        <v>1235</v>
      </c>
      <c r="J325" s="684"/>
      <c r="K325" s="1613"/>
      <c r="L325" s="327"/>
      <c r="M325" s="454"/>
      <c r="N325" s="447"/>
      <c r="O325" s="1737"/>
      <c r="P325" s="1737"/>
      <c r="AH325" s="1744">
        <v>0</v>
      </c>
    </row>
    <row s="5387" customFormat="1" customHeight="1" ht="0.75" hidden="1">
      <c r="A326" s="1893"/>
      <c r="B326" s="1893"/>
      <c r="C326" s="482" t="s">
        <v>1245</v>
      </c>
      <c r="D326" s="2575"/>
      <c r="E326" s="2317"/>
      <c r="F326" s="2496"/>
      <c r="G326" s="513"/>
      <c r="H326" s="1613"/>
      <c r="I326" s="764"/>
      <c r="J326" s="684"/>
      <c r="K326" s="1613"/>
      <c r="L326" s="327"/>
      <c r="M326" s="454"/>
      <c r="N326" s="447"/>
      <c r="O326" s="1737"/>
      <c r="P326" s="1737"/>
      <c r="AH326" s="1744">
        <v>0</v>
      </c>
    </row>
    <row s="5387" customFormat="1" customHeight="1" ht="18.75">
      <c r="A327" s="1893" t="s">
        <v>296</v>
      </c>
      <c r="B327" s="1893" t="s">
        <v>297</v>
      </c>
      <c r="C327" s="482"/>
      <c r="D327" s="2575"/>
      <c r="E327" s="2317"/>
      <c r="F327" s="2496" t="str">
        <f>INDEX(PT_DIFFERENTIATION_VTAR,MATCH(A327,PT_DIFFERENTIATION_VTAR_ID,0))</f>
        <v>Тариф на водоотведение</v>
      </c>
      <c r="G327" s="2540" t="str">
        <f>INDEX(PT_DIFFERENTIATION_NTAR,MATCH(B327,PT_DIFFERENTIATION_NTAR_ID,0))</f>
        <v>Тариф на водоотведение</v>
      </c>
      <c r="H327" s="1975"/>
      <c r="I327" s="9674">
        <v>45658.69561342592</v>
      </c>
      <c r="J327" s="9675">
        <v>47118.69579861111</v>
      </c>
      <c r="K327" s="1891">
        <v>0</v>
      </c>
      <c r="L327" s="1975" t="s">
        <v>399</v>
      </c>
      <c r="M327" s="454"/>
      <c r="N327" s="447"/>
      <c r="O327" s="1737"/>
      <c r="P327" s="1737"/>
      <c r="AH327" s="1744">
        <v>0</v>
      </c>
    </row>
    <row s="5387" customFormat="1" customHeight="1" ht="18.75">
      <c r="A328" s="1893"/>
      <c r="B328" s="1893"/>
      <c r="C328" s="482" t="s">
        <v>1236</v>
      </c>
      <c r="D328" s="2575"/>
      <c r="E328" s="2317"/>
      <c r="F328" s="2496"/>
      <c r="G328" s="2540"/>
      <c r="H328" s="1613"/>
      <c r="I328" s="764" t="s">
        <v>1235</v>
      </c>
      <c r="J328" s="684"/>
      <c r="K328" s="1613"/>
      <c r="L328" s="327"/>
      <c r="M328" s="454"/>
      <c r="N328" s="447"/>
      <c r="O328" s="1737"/>
      <c r="P328" s="1737"/>
      <c r="AH328" s="1744">
        <v>0</v>
      </c>
    </row>
    <row s="5387" customFormat="1" customHeight="1" ht="0.75">
      <c r="A329" s="1893"/>
      <c r="B329" s="1893"/>
      <c r="C329" s="482" t="s">
        <v>1245</v>
      </c>
      <c r="D329" s="2575"/>
      <c r="E329" s="2317"/>
      <c r="F329" s="2496"/>
      <c r="G329" s="513"/>
      <c r="H329" s="1613"/>
      <c r="I329" s="764"/>
      <c r="J329" s="684"/>
      <c r="K329" s="1613"/>
      <c r="L329" s="327"/>
      <c r="M329" s="454"/>
      <c r="N329" s="447"/>
      <c r="O329" s="1737"/>
      <c r="P329" s="1737"/>
      <c r="AH329" s="1744">
        <v>0</v>
      </c>
    </row>
    <row s="5387" customFormat="1" customHeight="1" ht="18.75" hidden="1">
      <c r="A330" s="1893" t="s">
        <v>363</v>
      </c>
      <c r="B330" s="1893" t="s">
        <v>364</v>
      </c>
      <c r="C330" s="482"/>
      <c r="D330" s="2575"/>
      <c r="E330" s="2317"/>
      <c r="F330" s="2496" t="str">
        <f>INDEX(PT_DIFFERENTIATION_VTAR,MATCH(A330,PT_DIFFERENTIATION_VTAR_ID,0))</f>
        <v>Тариф на транспортировку сточных вод</v>
      </c>
      <c r="G330" s="2540" t="str">
        <f>INDEX(PT_DIFFERENTIATION_NTAR,MATCH(B330,PT_DIFFERENTIATION_NTAR_ID,0))</f>
        <v/>
      </c>
      <c r="H330" s="1975"/>
      <c r="I330" s="1852"/>
      <c r="J330" s="1886"/>
      <c r="K330" s="1891"/>
      <c r="L330" s="1975" t="s">
        <v>399</v>
      </c>
      <c r="M330" s="454"/>
      <c r="N330" s="447"/>
      <c r="O330" s="1737"/>
      <c r="P330" s="1737"/>
      <c r="AH330" s="1744">
        <v>0</v>
      </c>
    </row>
    <row s="5387" customFormat="1" customHeight="1" ht="18.75" hidden="1">
      <c r="A331" s="1893"/>
      <c r="B331" s="1893"/>
      <c r="C331" s="482" t="s">
        <v>1236</v>
      </c>
      <c r="D331" s="2575"/>
      <c r="E331" s="2317"/>
      <c r="F331" s="2496"/>
      <c r="G331" s="2540"/>
      <c r="H331" s="1613"/>
      <c r="I331" s="764" t="s">
        <v>1235</v>
      </c>
      <c r="J331" s="684"/>
      <c r="K331" s="1613"/>
      <c r="L331" s="327"/>
      <c r="M331" s="454"/>
      <c r="N331" s="447"/>
      <c r="O331" s="1737"/>
      <c r="P331" s="1737"/>
      <c r="AH331" s="1744">
        <v>0</v>
      </c>
    </row>
    <row s="5387" customFormat="1" customHeight="1" ht="0.75" hidden="1">
      <c r="A332" s="1893"/>
      <c r="B332" s="1893"/>
      <c r="C332" s="482" t="s">
        <v>1245</v>
      </c>
      <c r="D332" s="2575"/>
      <c r="E332" s="2317"/>
      <c r="F332" s="2496"/>
      <c r="G332" s="513"/>
      <c r="H332" s="1613"/>
      <c r="I332" s="764"/>
      <c r="J332" s="684"/>
      <c r="K332" s="1613"/>
      <c r="L332" s="327"/>
      <c r="M332" s="454"/>
      <c r="N332" s="447"/>
      <c r="O332" s="1737"/>
      <c r="P332" s="1737"/>
      <c r="AH332" s="1744">
        <v>0</v>
      </c>
    </row>
    <row s="5387" customFormat="1" customHeight="1" ht="18.75" hidden="1">
      <c r="A333" s="1893" t="s">
        <v>368</v>
      </c>
      <c r="B333" s="1893" t="s">
        <v>369</v>
      </c>
      <c r="C333" s="482"/>
      <c r="D333" s="2575"/>
      <c r="E333" s="2317"/>
      <c r="F333" s="2496" t="str">
        <f>INDEX(PT_DIFFERENTIATION_VTAR,MATCH(A333,PT_DIFFERENTIATION_VTAR_ID,0))</f>
        <v>Тариф на подключение (технологическое присоединение) к централизованной системе водоотведения</v>
      </c>
      <c r="G333" s="2540" t="str">
        <f>INDEX(PT_DIFFERENTIATION_NTAR,MATCH(B333,PT_DIFFERENTIATION_NTAR_ID,0))</f>
        <v/>
      </c>
      <c r="H333" s="1975"/>
      <c r="I333" s="1852"/>
      <c r="J333" s="1886"/>
      <c r="K333" s="1891"/>
      <c r="L333" s="1975" t="s">
        <v>399</v>
      </c>
      <c r="M333" s="454"/>
      <c r="N333" s="447"/>
      <c r="O333" s="1737"/>
      <c r="P333" s="1737"/>
      <c r="AH333" s="1744">
        <v>0</v>
      </c>
    </row>
    <row s="5387" customFormat="1" customHeight="1" ht="18.75" hidden="1">
      <c r="A334" s="1893"/>
      <c r="B334" s="1893"/>
      <c r="C334" s="482" t="s">
        <v>1236</v>
      </c>
      <c r="D334" s="2575"/>
      <c r="E334" s="2317"/>
      <c r="F334" s="2496"/>
      <c r="G334" s="2540"/>
      <c r="H334" s="1613"/>
      <c r="I334" s="764" t="s">
        <v>1235</v>
      </c>
      <c r="J334" s="684"/>
      <c r="K334" s="1613"/>
      <c r="L334" s="327"/>
      <c r="M334" s="454"/>
      <c r="N334" s="447"/>
      <c r="O334" s="1737"/>
      <c r="P334" s="1737"/>
      <c r="AH334" s="1744">
        <v>0</v>
      </c>
    </row>
    <row s="5387" customFormat="1" customHeight="1" ht="1.05">
      <c r="A335" s="1893"/>
      <c r="B335" s="1893"/>
      <c r="C335" s="482" t="s">
        <v>1245</v>
      </c>
      <c r="D335" s="2575"/>
      <c r="E335" s="2317"/>
      <c r="F335" s="2496"/>
      <c r="G335" s="513"/>
      <c r="H335" s="1613"/>
      <c r="I335" s="764"/>
      <c r="J335" s="684"/>
      <c r="K335" s="1613"/>
      <c r="L335" s="327"/>
      <c r="M335" s="454"/>
      <c r="N335" s="447"/>
      <c r="O335" s="1737"/>
      <c r="P335" s="1737"/>
      <c r="AH335" s="1744">
        <v>1</v>
      </c>
    </row>
    <row s="9640" customFormat="1" customHeight="1" ht="3">
      <c r="A336" s="1893"/>
      <c r="B336" s="1893"/>
      <c r="C336" s="1894"/>
      <c r="E336" s="515"/>
      <c r="F336" s="515"/>
      <c r="G336" s="515"/>
      <c r="H336" s="515"/>
      <c r="I336" s="515"/>
      <c r="J336" s="515"/>
      <c r="K336" s="515"/>
      <c r="L336" s="515"/>
      <c r="M336" s="515"/>
      <c r="O336" s="309"/>
      <c r="P336" s="309"/>
      <c r="AH336" s="253">
        <v>3</v>
      </c>
    </row>
    <row customHeight="1" ht="26.25">
      <c r="E337" s="315"/>
      <c r="F337" s="2398"/>
      <c r="G337" s="2398"/>
      <c r="H337" s="2398"/>
      <c r="I337" s="2398"/>
      <c r="J337" s="2398"/>
      <c r="K337" s="2398"/>
      <c r="L337" s="2398"/>
      <c r="M337" s="2398"/>
      <c r="AH337" s="487">
        <v>25</v>
      </c>
    </row>
    <row customHeight="1" ht="14.25" hidden="1">
      <c r="A338" s="1892" t="s">
        <v>82</v>
      </c>
      <c r="B338" s="1892">
        <v>0</v>
      </c>
      <c r="C338" s="482">
        <v>0</v>
      </c>
      <c r="D338" s="457">
        <v>3</v>
      </c>
      <c r="E338" s="487">
        <v>6</v>
      </c>
      <c r="F338" s="487">
        <v>46</v>
      </c>
      <c r="G338" s="487">
        <v>35</v>
      </c>
      <c r="H338" s="487">
        <v>3</v>
      </c>
      <c r="I338" s="487">
        <v>11</v>
      </c>
      <c r="J338" s="487">
        <v>11</v>
      </c>
      <c r="K338" s="487">
        <v>35</v>
      </c>
      <c r="L338" s="487">
        <v>35</v>
      </c>
      <c r="M338" s="487">
        <v>84</v>
      </c>
      <c r="N338" s="487">
        <v>10</v>
      </c>
      <c r="O338" s="463">
        <v>10</v>
      </c>
      <c r="P338" s="463">
        <v>10</v>
      </c>
      <c r="Q338" s="487">
        <v>10</v>
      </c>
      <c r="R338" s="487">
        <v>10</v>
      </c>
      <c r="S338" s="487">
        <v>10</v>
      </c>
      <c r="T338" s="487">
        <v>10</v>
      </c>
      <c r="U338" s="487">
        <v>10</v>
      </c>
      <c r="V338" s="487">
        <v>10</v>
      </c>
      <c r="W338" s="487">
        <v>10</v>
      </c>
      <c r="X338" s="487">
        <v>10</v>
      </c>
      <c r="Y338" s="487">
        <v>10</v>
      </c>
      <c r="Z338" s="487">
        <v>10</v>
      </c>
      <c r="AA338" s="487">
        <v>10</v>
      </c>
      <c r="AB338" s="487">
        <v>10</v>
      </c>
      <c r="AC338" s="487">
        <v>10</v>
      </c>
      <c r="AD338" s="487">
        <v>10</v>
      </c>
      <c r="AE338" s="487">
        <v>10</v>
      </c>
      <c r="AF338" s="487">
        <v>10</v>
      </c>
      <c r="AG338" s="487">
        <v>10</v>
      </c>
      <c r="AH338"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5:D177"/>
    <mergeCell ref="E175:E177"/>
    <mergeCell ref="F175:F177"/>
    <mergeCell ref="G175:G176"/>
    <mergeCell ref="D69:D71"/>
    <mergeCell ref="E69:E71"/>
    <mergeCell ref="F69:F71"/>
    <mergeCell ref="D90:D92"/>
    <mergeCell ref="E90:E92"/>
    <mergeCell ref="D72:D74"/>
    <mergeCell ref="E72:E74"/>
    <mergeCell ref="F72:F74"/>
    <mergeCell ref="G160:G161"/>
    <mergeCell ref="G163:G164"/>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2"/>
    <mergeCell ref="F93:F95"/>
    <mergeCell ref="M24:M83"/>
    <mergeCell ref="G42:G43"/>
    <mergeCell ref="G129:G130"/>
    <mergeCell ref="G132:G133"/>
    <mergeCell ref="G135:G136"/>
    <mergeCell ref="G138:G142"/>
    <mergeCell ref="G157:G158"/>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3"/>
    <mergeCell ref="E138:E143"/>
    <mergeCell ref="F138:F143"/>
    <mergeCell ref="D129:D131"/>
    <mergeCell ref="E129:E131"/>
    <mergeCell ref="F129:F131"/>
    <mergeCell ref="D132:D134"/>
    <mergeCell ref="E132:E134"/>
    <mergeCell ref="F132:F134"/>
    <mergeCell ref="G144:G145"/>
    <mergeCell ref="G147:G148"/>
    <mergeCell ref="G151:G152"/>
    <mergeCell ref="G154:G155"/>
    <mergeCell ref="D163:D165"/>
    <mergeCell ref="E163:E165"/>
    <mergeCell ref="F163:F165"/>
    <mergeCell ref="D166:D168"/>
    <mergeCell ref="E166:E168"/>
    <mergeCell ref="F166:F168"/>
    <mergeCell ref="D157:D159"/>
    <mergeCell ref="D154:D156"/>
    <mergeCell ref="E154:E156"/>
    <mergeCell ref="F154:F156"/>
    <mergeCell ref="D144:D146"/>
    <mergeCell ref="E144:E146"/>
    <mergeCell ref="F144:F146"/>
    <mergeCell ref="D147:D149"/>
    <mergeCell ref="E147:E149"/>
    <mergeCell ref="F147:F149"/>
    <mergeCell ref="D151:D153"/>
    <mergeCell ref="E151:E153"/>
    <mergeCell ref="F151:F153"/>
    <mergeCell ref="E157:E159"/>
    <mergeCell ref="F157:F159"/>
    <mergeCell ref="D160:D162"/>
    <mergeCell ref="E160:E162"/>
    <mergeCell ref="F160:F162"/>
    <mergeCell ref="D169:D171"/>
    <mergeCell ref="E169:E171"/>
    <mergeCell ref="F169:F171"/>
    <mergeCell ref="D172:D174"/>
    <mergeCell ref="E172:E174"/>
    <mergeCell ref="F172:F174"/>
    <mergeCell ref="D193:D195"/>
    <mergeCell ref="E193:E195"/>
    <mergeCell ref="F193:F195"/>
    <mergeCell ref="D184:D186"/>
    <mergeCell ref="E184:E186"/>
    <mergeCell ref="F184:F186"/>
    <mergeCell ref="D187:D189"/>
    <mergeCell ref="E187:E189"/>
    <mergeCell ref="F187:F189"/>
    <mergeCell ref="D178:D180"/>
    <mergeCell ref="E178:E180"/>
    <mergeCell ref="F178:F180"/>
    <mergeCell ref="D181:D183"/>
    <mergeCell ref="E181:E183"/>
    <mergeCell ref="F181:F183"/>
    <mergeCell ref="G181:G182"/>
    <mergeCell ref="D190:D192"/>
    <mergeCell ref="E190:E192"/>
    <mergeCell ref="F190:F192"/>
    <mergeCell ref="D196:D198"/>
    <mergeCell ref="E196:E198"/>
    <mergeCell ref="F196:F198"/>
    <mergeCell ref="D199:D201"/>
    <mergeCell ref="E199:E201"/>
    <mergeCell ref="F199:F201"/>
    <mergeCell ref="G196:G197"/>
    <mergeCell ref="G199:G200"/>
    <mergeCell ref="D221:D223"/>
    <mergeCell ref="E221:E223"/>
    <mergeCell ref="F221:F223"/>
    <mergeCell ref="D211:D213"/>
    <mergeCell ref="E211:E213"/>
    <mergeCell ref="F211:F213"/>
    <mergeCell ref="D215:D217"/>
    <mergeCell ref="E215:E217"/>
    <mergeCell ref="F215:F217"/>
    <mergeCell ref="D202:D207"/>
    <mergeCell ref="E202:E207"/>
    <mergeCell ref="F202: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G60:G61"/>
    <mergeCell ref="G63:G64"/>
    <mergeCell ref="G66:G67"/>
    <mergeCell ref="G69:G70"/>
    <mergeCell ref="G72:G73"/>
    <mergeCell ref="G75:G76"/>
    <mergeCell ref="G78:G79"/>
    <mergeCell ref="G81:G82"/>
    <mergeCell ref="G87:G88"/>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05:G106"/>
    <mergeCell ref="G108:G109"/>
    <mergeCell ref="G114:G115"/>
    <mergeCell ref="G117:G118"/>
    <mergeCell ref="G236:G237"/>
    <mergeCell ref="G242:G243"/>
    <mergeCell ref="G245:G246"/>
    <mergeCell ref="G248:G249"/>
    <mergeCell ref="G202:G206"/>
    <mergeCell ref="G211:G212"/>
    <mergeCell ref="G215:G216"/>
    <mergeCell ref="G218:G219"/>
    <mergeCell ref="G221:G222"/>
    <mergeCell ref="G169:G170"/>
    <mergeCell ref="G172:G173"/>
    <mergeCell ref="G178:G179"/>
    <mergeCell ref="G224:G225"/>
    <mergeCell ref="G227:G228"/>
    <mergeCell ref="G230:G231"/>
    <mergeCell ref="G184:G185"/>
    <mergeCell ref="G187:G188"/>
    <mergeCell ref="G190:G191"/>
    <mergeCell ref="G193:G194"/>
    <mergeCell ref="G166:G167"/>
  </mergeCells>
  <dataValidations count="4">
    <dataValidation type="decimal" allowBlank="1" showErrorMessage="1" errorTitle="Ошибка" error="Допускается ввод только действительных чисел!" sqref="K215 K218 K221 K224 K227 K230 K233 K236 K242 K245 K248 K251 K254 K257 K260 K263 K266 K269 K10 K87 K144 K138:K141 K135 K132 K129 K126 K123 K120 K117 K114 K108 K105 K102 K99 K96 K93 K90 K151 K147 K154 K157 K160 K163 K166 K169 K172 K178 K181 K184 K187 K190 K196 K199 K202:K205 K208 K211 K193 K272 K276 K279 K282 K285 K288 K291 K294 K297 K303 K306 K309 K312 K315 K318 K321 K324 K327 K330 K333 K5 K111 K175 K239 K3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1:M152 M215:M216 M23 M87:M88 M276:M27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47:J147 I90:J90 I93:J93 I96:J96 I99:J99 I102:J102 I105:J105 I108:J108 I114:J114 I117:J117 I120:J120 I123:J123 I126:J126 I129:J129 I132:J132 I135:J135 I138:J141 I144:J144 I151:J151 I87:J87 I154:J154 I157:J157 I160:J160 I163:J163 I166:J166 I169:J169 I172:J172 I178:J178 I181:J181 I184:J184 I187:J187 I190:J190 I196:J196 I199:J199 I202:J205 I208:J208 I211:J211 I193:J193 I269:J269 I272:J272 I276:J276 I279:J279 I282:J282 I285:J285 I288:J288 I291:J291 I294:J294 I297:J297 I303:J303 I306:J306 I309:J309 I312:J312 I315:J315 I318:J318 I321:J321 I324:J324 I327:J327 I330:J330 I333:J333 I2:J2 I5:J5 I48:J48 I111:J111 I175:J175 I239:J239 I300:J300"/>
  </dataValidations>
  <hyperlinks>
    <hyperlink ref="L85" r:id="rId2" xr:uid="{70CF5065-E267-48A6-A777-9CB653E4A24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CD7F5-BFE3-0AF7-17C4-2CD3799369D5}" mc:Ignorable="x14ac xr xr2 xr3">
  <sheetPr>
    <tabColor theme="6" tint="0.4"/>
  </sheetPr>
  <dimension ref="A1:R17"/>
  <sheetViews>
    <sheetView topLeftCell="A1" showGridLines="0" zoomScale="90" workbookViewId="0">
      <selection activeCell="G15" sqref="G15"/>
    </sheetView>
  </sheetViews>
  <sheetFormatPr defaultColWidth="10.57421875" customHeight="1" defaultRowHeight="14.25"/>
  <cols>
    <col min="1" max="1" style="6318" width="9.140625" hidden="1" customWidth="1"/>
    <col min="2" max="2" style="5467" width="9.140625" hidden="1" customWidth="1"/>
    <col min="3" max="3" style="6319" width="3.00390625" customWidth="1"/>
    <col min="4" max="4" style="5387" width="6.00390625" customWidth="1"/>
    <col min="5" max="5" style="5387" width="53.00390625" customWidth="1"/>
    <col min="6" max="7" style="5387" width="35.00390625" customWidth="1"/>
    <col min="8" max="8" style="5387" width="89.00390625" customWidth="1"/>
    <col min="9" max="9" style="5387" width="10.00390625" customWidth="1"/>
    <col min="10" max="11" style="5567" width="10.00390625" customWidth="1"/>
    <col min="12" max="17" style="5387" width="10.00390625" customWidth="1"/>
    <col min="18" max="18" style="5387" width="10.57421875" hidden="1"/>
  </cols>
  <sheetData>
    <row customHeight="1" ht="22.5" hidden="1">
      <c r="N1" s="368"/>
      <c r="O1" s="368"/>
      <c r="Q1" s="368"/>
      <c r="R1" s="487" t="s">
        <v>14</v>
      </c>
    </row>
    <row s="5387" customFormat="1" customHeight="1" ht="18.75" hidden="1">
      <c r="A2" s="215"/>
      <c r="B2" s="1273"/>
      <c r="C2" s="1843" t="s">
        <v>104</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68"/>
      <c r="F5" s="2568"/>
      <c r="G5" s="2569"/>
      <c r="H5" s="379"/>
      <c r="R5" s="487">
        <v>33</v>
      </c>
    </row>
    <row s="5387" customFormat="1" customHeight="1" ht="18">
      <c r="A6" s="1782"/>
      <c r="B6" s="1273"/>
      <c r="C6" s="489"/>
      <c r="D6" s="2570" t="str">
        <f>IF(org=0,"Не определено",org)</f>
        <v>КГУП "Примтеплоэнерго"</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393</v>
      </c>
      <c r="E8" s="2322"/>
      <c r="F8" s="2322"/>
      <c r="G8" s="2322"/>
      <c r="H8" s="2502" t="s">
        <v>394</v>
      </c>
      <c r="R8" s="487">
        <v>14</v>
      </c>
    </row>
    <row customHeight="1" ht="24">
      <c r="C9" s="489"/>
      <c r="D9" s="499" t="s">
        <v>88</v>
      </c>
      <c r="E9" s="221" t="s">
        <v>395</v>
      </c>
      <c r="F9" s="221" t="s">
        <v>396</v>
      </c>
      <c r="G9" s="221" t="s">
        <v>483</v>
      </c>
      <c r="H9" s="2502"/>
      <c r="R9" s="487">
        <v>23</v>
      </c>
    </row>
    <row customHeight="1" ht="14.699999999999998">
      <c r="A10" s="456"/>
      <c r="C10" s="489"/>
      <c r="D10" s="260" t="s">
        <v>136</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9692" t="s">
        <v>1246</v>
      </c>
      <c r="G10" s="326" t="s">
        <v>1247</v>
      </c>
      <c r="H10" s="2282" t="s">
        <v>1248</v>
      </c>
      <c r="R10" s="487">
        <v>14</v>
      </c>
    </row>
    <row customHeight="1" ht="14.699999999999998">
      <c r="A11" s="456"/>
      <c r="C11" s="489"/>
      <c r="D11" s="260" t="s">
        <v>103</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70" t="s">
        <v>1249</v>
      </c>
      <c r="G11" s="326" t="s">
        <v>1250</v>
      </c>
      <c r="H11" s="2283"/>
      <c r="R11" s="487">
        <v>14</v>
      </c>
    </row>
    <row customHeight="1" ht="14.699999999999998">
      <c r="A12" s="215"/>
      <c r="C12" s="500"/>
      <c r="D12" s="260" t="s">
        <v>90</v>
      </c>
      <c r="E12" s="501" t="str">
        <f>"Сведения о планировании закупочных процедур"&amp;IF(TEMPLATE_SPHERE="TKO"," &lt;1&gt;","")</f>
        <v>Сведения о планировании закупочных процедур</v>
      </c>
      <c r="F12" s="370" t="s">
        <v>1251</v>
      </c>
      <c r="G12" s="326" t="s">
        <v>1252</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t="s">
        <v>1253</v>
      </c>
      <c r="G13" s="326" t="s">
        <v>1252</v>
      </c>
      <c r="H13" s="2283"/>
      <c r="I13" s="463"/>
      <c r="K13" s="487"/>
      <c r="R13" s="487">
        <v>14</v>
      </c>
    </row>
    <row customHeight="1" ht="14.699999999999998">
      <c r="A14" s="456"/>
      <c r="C14" s="489"/>
      <c r="D14" s="460"/>
      <c r="E14" s="508" t="s">
        <v>415</v>
      </c>
      <c r="F14" s="462"/>
      <c r="G14" s="314"/>
      <c r="H14" s="2284"/>
      <c r="R14" s="487">
        <v>14</v>
      </c>
    </row>
    <row s="5387"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9CD83-E949-081C-A86A-084163C6C69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51" width="9.140625" hidden="1" customWidth="1"/>
    <col min="2" max="2" style="5387" width="9.140625" hidden="1" customWidth="1"/>
    <col min="3" max="3" style="9382" width="4.00390625" customWidth="1"/>
    <col min="4" max="4" style="5387" width="6.00390625" customWidth="1"/>
    <col min="5" max="5" style="5387" width="47.00390625" customWidth="1"/>
    <col min="6" max="6" style="5387" width="9.00390625" customWidth="1"/>
    <col min="7" max="7" style="5387" width="25.7109375" hidden="1" customWidth="1"/>
    <col min="8" max="8" style="5387" width="34.00390625" hidden="1" customWidth="1"/>
    <col min="9" max="9" style="5387" width="25.7109375" customWidth="1"/>
    <col min="10" max="10" style="5387" width="33.00390625" customWidth="1"/>
    <col min="11" max="11" style="5467" width="50.00390625" customWidth="1"/>
    <col min="12" max="20" style="5387" width="10.00390625" customWidth="1"/>
    <col min="21" max="21" style="9383" width="10.00390625" customWidth="1"/>
    <col min="22" max="22" style="5387" width="10.57421875" hidden="1"/>
  </cols>
  <sheetData>
    <row s="5467" customFormat="1" customHeight="1" ht="22.5" hidden="1">
      <c r="C1" s="785"/>
      <c r="G1" s="530">
        <v>4</v>
      </c>
      <c r="I1" s="530">
        <v>4</v>
      </c>
      <c r="U1" s="533"/>
      <c r="V1" s="530" t="s">
        <v>14</v>
      </c>
    </row>
    <row s="5387" customFormat="1" customHeight="1" ht="15" hidden="1">
      <c r="A2" s="475"/>
      <c r="C2" s="289"/>
      <c r="D2" s="459"/>
      <c r="E2" s="786"/>
      <c r="F2" s="635"/>
      <c r="G2" s="729"/>
      <c r="H2" s="729"/>
      <c r="I2" s="729"/>
      <c r="J2" s="729"/>
      <c r="U2" s="787"/>
      <c r="V2" s="622">
        <v>0</v>
      </c>
    </row>
    <row s="5467" customFormat="1" customHeight="1" ht="15" hidden="1">
      <c r="C3" s="785"/>
      <c r="U3" s="533"/>
      <c r="V3" s="530">
        <v>0</v>
      </c>
    </row>
    <row customHeight="1" ht="15.75">
      <c r="C4" s="289"/>
      <c r="D4" s="622"/>
      <c r="E4" s="622"/>
      <c r="F4" s="622"/>
      <c r="G4" s="622"/>
      <c r="H4" s="622"/>
      <c r="I4" s="622"/>
      <c r="J4" s="622"/>
      <c r="V4" s="618">
        <v>15</v>
      </c>
    </row>
    <row customHeight="1" ht="66">
      <c r="C5" s="289"/>
      <c r="D5" s="2350" t="s">
        <v>1254</v>
      </c>
      <c r="E5" s="2350"/>
      <c r="F5" s="2350"/>
      <c r="G5" s="2350"/>
      <c r="H5" s="2350"/>
      <c r="I5" s="2350"/>
      <c r="J5" s="2350"/>
      <c r="V5" s="618">
        <v>63</v>
      </c>
    </row>
    <row customHeight="1" ht="15.75">
      <c r="C6" s="289"/>
      <c r="D6" s="2289" t="str">
        <f>IF(org=0,"Не определено",org)</f>
        <v>КГУП "Примтеплоэнерго"</v>
      </c>
      <c r="E6" s="2289"/>
      <c r="F6" s="2289"/>
      <c r="G6" s="2289"/>
      <c r="H6" s="2289"/>
      <c r="I6" s="2289"/>
      <c r="J6" s="2289"/>
      <c r="K6" s="650"/>
      <c r="V6" s="618">
        <v>15</v>
      </c>
    </row>
    <row customHeight="1" ht="15.75">
      <c r="C7" s="289"/>
      <c r="D7" s="865"/>
      <c r="E7" s="622"/>
      <c r="F7" s="622"/>
      <c r="G7" s="650">
        <v>22</v>
      </c>
      <c r="I7" s="650">
        <v>1</v>
      </c>
      <c r="J7" s="865"/>
      <c r="V7" s="618">
        <v>15</v>
      </c>
    </row>
    <row s="5387" customFormat="1" customHeight="1" ht="1.05">
      <c r="A8" s="872"/>
      <c r="C8" s="289"/>
      <c r="D8" s="622"/>
      <c r="E8" s="622"/>
      <c r="F8" s="622"/>
      <c r="G8" s="650"/>
      <c r="H8" s="865"/>
      <c r="I8" s="650" t="s">
        <v>149</v>
      </c>
      <c r="J8" s="865"/>
      <c r="K8" s="530"/>
      <c r="U8" s="788"/>
      <c r="V8" s="871">
        <v>1</v>
      </c>
    </row>
    <row customHeight="1" ht="15.75">
      <c r="C9" s="289"/>
      <c r="D9" s="824"/>
      <c r="E9" s="2480" t="s">
        <v>141</v>
      </c>
      <c r="F9" s="2481"/>
      <c r="G9" s="2508" t="str">
        <f>IF(G8="","",INDEX(DIFFERENTIATION_UNMERGE_VD,MATCH(G8,DIFFERENTIATION_ID_DIFF,0)))</f>
        <v/>
      </c>
      <c r="H9" s="2509"/>
      <c r="I9" s="2508">
        <f>IF(I8="","",INDEX(DIFFERENTIATION_UNMERGE_VD,MATCH(I8,DIFFERENTIATION_ID_DIFF,0)))</f>
        <v>0</v>
      </c>
      <c r="J9" s="2509"/>
      <c r="K9" s="2288" t="s">
        <v>394</v>
      </c>
      <c r="V9" s="618">
        <v>15</v>
      </c>
    </row>
    <row s="5387" customFormat="1" customHeight="1" ht="15.75">
      <c r="A10" s="872"/>
      <c r="C10" s="289"/>
      <c r="D10" s="824"/>
      <c r="E10" s="2480" t="s">
        <v>655</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387" customFormat="1" customHeight="1" ht="15.75">
      <c r="A11" s="872"/>
      <c r="C11" s="289"/>
      <c r="D11" s="824"/>
      <c r="E11" s="2480" t="s">
        <v>656</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7" customFormat="1" customHeight="1" ht="15.75">
      <c r="A12" s="872"/>
      <c r="C12" s="289"/>
      <c r="D12" s="2482" t="s">
        <v>393</v>
      </c>
      <c r="E12" s="2483"/>
      <c r="F12" s="2483"/>
      <c r="G12" s="1000"/>
      <c r="H12" s="1000"/>
      <c r="I12" s="1000"/>
      <c r="J12" s="1000"/>
      <c r="K12" s="2312"/>
      <c r="U12" s="788"/>
      <c r="V12" s="871">
        <v>15</v>
      </c>
    </row>
    <row customHeight="1" ht="35.699999999999996">
      <c r="C13" s="289"/>
      <c r="D13" s="918" t="s">
        <v>88</v>
      </c>
      <c r="E13" s="920" t="s">
        <v>395</v>
      </c>
      <c r="F13" s="920" t="s">
        <v>657</v>
      </c>
      <c r="G13" s="921" t="s">
        <v>396</v>
      </c>
      <c r="H13" s="920" t="s">
        <v>483</v>
      </c>
      <c r="I13" s="921" t="s">
        <v>396</v>
      </c>
      <c r="J13" s="920" t="s">
        <v>483</v>
      </c>
      <c r="K13" s="2345"/>
      <c r="V13" s="618">
        <v>34</v>
      </c>
    </row>
    <row customHeight="1" ht="15" hidden="1">
      <c r="C14" s="289"/>
      <c r="D14" s="706" t="s">
        <v>136</v>
      </c>
      <c r="E14" s="706" t="s">
        <v>103</v>
      </c>
      <c r="F14" s="706" t="s">
        <v>90</v>
      </c>
      <c r="G14" s="772" t="str">
        <f>G1&amp;".1"</f>
        <v>4.1</v>
      </c>
      <c r="H14" s="772"/>
      <c r="I14" s="772" t="str">
        <f>I1&amp;".1"</f>
        <v>4.1</v>
      </c>
      <c r="J14" s="772"/>
      <c r="K14" s="402"/>
      <c r="V14" s="618">
        <v>0</v>
      </c>
    </row>
    <row customHeight="1" ht="22.5" hidden="1">
      <c r="A15" s="618"/>
      <c r="C15" s="639"/>
      <c r="D15" s="634">
        <v>1</v>
      </c>
      <c r="E15" s="790" t="s">
        <v>899</v>
      </c>
      <c r="F15" s="634" t="s">
        <v>900</v>
      </c>
      <c r="G15" s="791"/>
      <c r="H15" s="791"/>
      <c r="I15" s="791"/>
      <c r="J15" s="791"/>
      <c r="K15" s="402" t="s">
        <v>901</v>
      </c>
      <c r="V15" s="618">
        <v>0</v>
      </c>
    </row>
    <row customHeight="1" ht="22.5" hidden="1">
      <c r="A16" s="618"/>
      <c r="C16" s="639"/>
      <c r="D16" s="634">
        <v>2</v>
      </c>
      <c r="E16" s="392" t="s">
        <v>902</v>
      </c>
      <c r="F16" s="634" t="s">
        <v>903</v>
      </c>
      <c r="G16" s="791"/>
      <c r="H16" s="791"/>
      <c r="I16" s="791"/>
      <c r="J16" s="791"/>
      <c r="K16" s="402" t="s">
        <v>904</v>
      </c>
      <c r="V16" s="618">
        <v>0</v>
      </c>
    </row>
    <row customHeight="1" ht="123.75" hidden="1">
      <c r="A17" s="618"/>
      <c r="C17" s="639"/>
      <c r="D17" s="634">
        <v>3</v>
      </c>
      <c r="E17" s="392" t="s">
        <v>1255</v>
      </c>
      <c r="F17" s="634" t="s">
        <v>399</v>
      </c>
      <c r="G17" s="791"/>
      <c r="H17" s="791"/>
      <c r="I17" s="791"/>
      <c r="J17" s="791"/>
      <c r="K17" s="402" t="s">
        <v>1256</v>
      </c>
      <c r="V17" s="618">
        <v>0</v>
      </c>
    </row>
    <row customHeight="1" ht="48.29999999999999">
      <c r="A18" s="618"/>
      <c r="C18" s="639"/>
      <c r="D18" s="634">
        <v>3</v>
      </c>
      <c r="E18" s="392" t="s">
        <v>905</v>
      </c>
      <c r="F18" s="634" t="s">
        <v>399</v>
      </c>
      <c r="G18" s="922" t="s">
        <v>399</v>
      </c>
      <c r="H18" s="923" t="s">
        <v>399</v>
      </c>
      <c r="I18" s="634" t="s">
        <v>399</v>
      </c>
      <c r="J18" s="691" t="s">
        <v>399</v>
      </c>
      <c r="K18" s="402" t="s">
        <v>1257</v>
      </c>
      <c r="V18" s="618">
        <v>46</v>
      </c>
    </row>
    <row customHeight="1" ht="35.699999999999996">
      <c r="A19" s="618"/>
      <c r="C19" s="639"/>
      <c r="D19" s="652" t="s">
        <v>417</v>
      </c>
      <c r="E19" s="672" t="s">
        <v>907</v>
      </c>
      <c r="F19" s="634" t="s">
        <v>908</v>
      </c>
      <c r="G19" s="930"/>
      <c r="H19" s="219"/>
      <c r="I19" s="930"/>
      <c r="J19" s="931"/>
      <c r="K19" s="792"/>
      <c r="V19" s="618">
        <v>34</v>
      </c>
    </row>
    <row customHeight="1" ht="35.699999999999996">
      <c r="A20" s="618"/>
      <c r="C20" s="639"/>
      <c r="D20" s="2003" t="s">
        <v>425</v>
      </c>
      <c r="E20" s="672" t="s">
        <v>909</v>
      </c>
      <c r="F20" s="634" t="s">
        <v>910</v>
      </c>
      <c r="G20" s="930"/>
      <c r="H20" s="219"/>
      <c r="I20" s="930"/>
      <c r="J20" s="219"/>
      <c r="K20" s="792"/>
      <c r="V20" s="618">
        <v>34</v>
      </c>
    </row>
    <row customHeight="1" ht="48.29999999999999">
      <c r="A21" s="618"/>
      <c r="C21" s="639"/>
      <c r="D21" s="2003" t="s">
        <v>427</v>
      </c>
      <c r="E21" s="672" t="s">
        <v>911</v>
      </c>
      <c r="F21" s="634" t="s">
        <v>662</v>
      </c>
      <c r="G21" s="793"/>
      <c r="H21" s="219"/>
      <c r="I21" s="793"/>
      <c r="J21" s="219"/>
      <c r="K21" s="792"/>
      <c r="V21" s="618">
        <v>46</v>
      </c>
    </row>
    <row customHeight="1" ht="67.5" hidden="1">
      <c r="A22" s="618"/>
      <c r="C22" s="639"/>
      <c r="D22" s="634">
        <v>5</v>
      </c>
      <c r="E22" s="392" t="s">
        <v>1258</v>
      </c>
      <c r="F22" s="634" t="s">
        <v>649</v>
      </c>
      <c r="G22" s="794"/>
      <c r="H22" s="795"/>
      <c r="I22" s="794"/>
      <c r="J22" s="795"/>
      <c r="K22" s="402" t="s">
        <v>1259</v>
      </c>
      <c r="V22" s="618">
        <v>0</v>
      </c>
    </row>
    <row customHeight="1" ht="33.75" hidden="1">
      <c r="C23" s="564"/>
      <c r="D23" s="634">
        <v>6</v>
      </c>
      <c r="E23" s="392" t="s">
        <v>1260</v>
      </c>
      <c r="F23" s="634" t="s">
        <v>1261</v>
      </c>
      <c r="G23" s="794"/>
      <c r="H23" s="794"/>
      <c r="I23" s="794"/>
      <c r="J23" s="794"/>
      <c r="K23" s="402" t="s">
        <v>1262</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A08CA7-B66F-0A97-AE73-A5BEF0A9EEB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807" width="32.57421875" customWidth="1"/>
    <col min="2" max="2" style="5528" width="11.00390625" customWidth="1"/>
    <col min="3" max="3" style="5528" width="9.140625"/>
    <col min="4" max="4" style="5528" width="26.57421875" customWidth="1"/>
    <col min="5" max="5" style="9640" width="36.8515625" customWidth="1"/>
    <col min="6" max="6" style="9640" width="23.57421875" customWidth="1"/>
    <col min="7" max="7" style="9640" width="31.421875" customWidth="1"/>
    <col min="8" max="8" style="9640" width="40.8515625" customWidth="1"/>
    <col min="9" max="9" style="9640" width="14.57421875" customWidth="1"/>
    <col min="10" max="10" style="9640" width="26.8515625" customWidth="1"/>
    <col min="11" max="11" style="9640" width="50.00390625" customWidth="1"/>
    <col min="12" max="12" style="9640" width="52.421875" customWidth="1"/>
    <col min="13" max="13" style="9640" width="10.7109375" customWidth="1"/>
    <col min="14" max="14" style="9640" width="55.140625" customWidth="1"/>
    <col min="15" max="15" style="9640" width="31.8515625" customWidth="1"/>
    <col min="16" max="16" style="9640" width="23.8515625" customWidth="1"/>
    <col min="17" max="17" style="9640" width="46.57421875" customWidth="1"/>
    <col min="18" max="18" style="9640" width="24.00390625" customWidth="1"/>
    <col min="19" max="19" style="9640" width="20.57421875" customWidth="1"/>
    <col min="20" max="20" style="9640" width="22.00390625" customWidth="1"/>
    <col min="21" max="22" style="9640" width="26.421875" customWidth="1"/>
    <col min="23" max="23" style="9640" width="8.28125" hidden="1" customWidth="1"/>
    <col min="24" max="24" style="9640" width="59.7109375" customWidth="1"/>
    <col min="25" max="25" style="9640" width="49.140625" customWidth="1"/>
    <col min="26" max="26" style="9640" width="11.140625" customWidth="1"/>
    <col min="27" max="30" style="9640" width="29.00390625" customWidth="1"/>
    <col min="31" max="31" style="9640" width="9.140625"/>
    <col min="32" max="32" style="9640" width="34.7109375" customWidth="1"/>
    <col min="33" max="33" style="9640" width="9.140625"/>
    <col min="34" max="35" style="9640" width="34.421875" customWidth="1"/>
    <col min="36" max="36" style="9640" width="9.140625"/>
    <col min="37" max="37" style="9640" width="24.57421875" customWidth="1"/>
    <col min="38" max="38" style="9640" width="9.140625"/>
    <col min="39" max="39" style="9640" width="26.140625" customWidth="1"/>
    <col min="40" max="40" style="9640" width="1.7109375" customWidth="1"/>
    <col min="41" max="41" style="9640" width="9.140625"/>
    <col min="42" max="43" style="9640" width="47.8515625" customWidth="1"/>
    <col min="44" max="44" style="9640" width="1.7109375" customWidth="1"/>
    <col min="45" max="45" style="9640" width="21.421875" customWidth="1"/>
    <col min="46" max="46" style="9640" width="1.7109375" customWidth="1"/>
    <col min="47" max="47" style="9640" width="31.28125" customWidth="1"/>
    <col min="48" max="48" style="9640" width="1.7109375" customWidth="1"/>
    <col min="49" max="50" style="9640" width="9.140625"/>
    <col min="51" max="51" style="9640" width="3.7109375" customWidth="1"/>
    <col min="52" max="52" style="9640" width="60.8515625" customWidth="1"/>
    <col min="53" max="53" style="9640" width="49.28125" customWidth="1"/>
    <col min="54" max="54" style="9640" width="35.140625" customWidth="1"/>
    <col min="55" max="55" style="9640" width="9.140625"/>
    <col min="56" max="56" style="9640" width="1.7109375" customWidth="1"/>
    <col min="57" max="57" style="9808" width="12.57421875" customWidth="1"/>
    <col min="58" max="58" style="9808" width="14.28125" customWidth="1"/>
    <col min="59" max="59" style="9640" width="30.7109375" customWidth="1"/>
    <col min="60" max="60" style="9809" width="40.7109375" customWidth="1"/>
    <col min="61" max="61" style="9809" width="15.00390625" customWidth="1"/>
    <col min="62" max="62" style="9809" width="40.7109375" customWidth="1"/>
    <col min="63" max="63" style="9809" width="2.7109375" customWidth="1"/>
    <col min="64" max="64" style="9809" width="44.7109375" customWidth="1"/>
    <col min="65" max="65" style="9809" width="2.7109375" customWidth="1"/>
    <col min="66" max="66" style="9809" width="40.7109375" customWidth="1"/>
    <col min="67" max="68" style="9640" width="9.140625"/>
    <col min="69" max="69" style="9640" width="18.140625" customWidth="1"/>
    <col min="70" max="70" style="9640" width="57.8515625" customWidth="1"/>
    <col min="71" max="71" style="9640" width="1.7109375" customWidth="1"/>
    <col min="72" max="72" style="9640" width="22.57421875" customWidth="1"/>
    <col min="73" max="73" style="9640" width="57.8515625" customWidth="1"/>
    <col min="74" max="74" style="9640" width="1.7109375" customWidth="1"/>
    <col min="75" max="75" style="9640" width="22.57421875" customWidth="1"/>
    <col min="76" max="76" style="9640" width="57.8515625" customWidth="1"/>
    <col min="77" max="77" style="9640" width="1.7109375" customWidth="1"/>
    <col min="78" max="78" style="9640" width="22.57421875" customWidth="1"/>
    <col min="79" max="79" style="9640" width="57.8515625" customWidth="1"/>
    <col min="80" max="81" style="9640" width="9.140625"/>
    <col min="82" max="82" style="9640" width="49.57421875" customWidth="1"/>
  </cols>
  <sheetData>
    <row s="9710" customFormat="1" customHeight="1" ht="11.25">
      <c r="A1" s="1180" t="s">
        <v>1263</v>
      </c>
      <c r="B1" s="1180" t="s">
        <v>1264</v>
      </c>
      <c r="C1" s="1180" t="s">
        <v>1265</v>
      </c>
      <c r="D1" s="1180" t="s">
        <v>1266</v>
      </c>
      <c r="E1" s="1180" t="s">
        <v>1267</v>
      </c>
      <c r="F1" s="1180" t="s">
        <v>1268</v>
      </c>
      <c r="G1" s="1180" t="s">
        <v>1269</v>
      </c>
      <c r="H1" s="1180" t="s">
        <v>1270</v>
      </c>
      <c r="I1" s="1180" t="s">
        <v>1271</v>
      </c>
      <c r="J1" s="1180" t="s">
        <v>1272</v>
      </c>
      <c r="K1" s="1180" t="s">
        <v>1273</v>
      </c>
      <c r="L1" s="1180" t="s">
        <v>1274</v>
      </c>
      <c r="M1" s="1180"/>
      <c r="N1" s="1180" t="s">
        <v>1275</v>
      </c>
      <c r="O1" s="1180" t="s">
        <v>1276</v>
      </c>
      <c r="P1" s="1180" t="s">
        <v>1277</v>
      </c>
      <c r="Q1" s="1180" t="s">
        <v>1278</v>
      </c>
      <c r="R1" s="1180" t="s">
        <v>1279</v>
      </c>
      <c r="S1" s="1180" t="s">
        <v>1280</v>
      </c>
      <c r="T1" s="1180" t="s">
        <v>1281</v>
      </c>
      <c r="U1" s="1180" t="s">
        <v>1282</v>
      </c>
      <c r="V1" s="1180"/>
      <c r="W1" s="910" t="s">
        <v>1283</v>
      </c>
      <c r="X1" s="1180" t="s">
        <v>1284</v>
      </c>
      <c r="Y1" s="1180" t="s">
        <v>1285</v>
      </c>
      <c r="Z1" s="1180"/>
      <c r="AA1" s="1180" t="s">
        <v>1286</v>
      </c>
      <c r="AB1" s="1180"/>
      <c r="AC1" s="1180" t="s">
        <v>1287</v>
      </c>
      <c r="AD1" s="1180"/>
      <c r="AF1" s="1180" t="s">
        <v>1288</v>
      </c>
      <c r="AH1" s="1180" t="s">
        <v>1289</v>
      </c>
      <c r="AI1" s="1180" t="s">
        <v>1290</v>
      </c>
      <c r="AK1" s="1180" t="s">
        <v>1291</v>
      </c>
      <c r="AM1" s="1180" t="s">
        <v>1292</v>
      </c>
      <c r="AP1" s="1180" t="s">
        <v>1293</v>
      </c>
      <c r="AQ1" s="1180" t="s">
        <v>1294</v>
      </c>
      <c r="AS1" s="1180" t="s">
        <v>1295</v>
      </c>
      <c r="AU1" s="1180" t="s">
        <v>1296</v>
      </c>
      <c r="AW1" s="1180" t="s">
        <v>1297</v>
      </c>
      <c r="AX1" s="1180" t="s">
        <v>1298</v>
      </c>
      <c r="AZ1" s="1265" t="s">
        <v>1299</v>
      </c>
      <c r="BB1" s="1180" t="s">
        <v>1300</v>
      </c>
      <c r="BC1" s="1180"/>
      <c r="BE1" s="1180" t="s">
        <v>1301</v>
      </c>
      <c r="BF1" s="1180" t="s">
        <v>1302</v>
      </c>
      <c r="BH1" s="1182" t="s">
        <v>898</v>
      </c>
      <c r="BI1" s="1183"/>
      <c r="BJ1" s="1184" t="s">
        <v>1303</v>
      </c>
      <c r="BK1" s="1183"/>
      <c r="BL1" s="1185" t="s">
        <v>997</v>
      </c>
      <c r="BM1" s="1183"/>
      <c r="BN1" s="1186" t="s">
        <v>1304</v>
      </c>
      <c r="BS1" s="1540"/>
    </row>
    <row customHeight="1" ht="11.25">
      <c r="A2" s="1187" t="s">
        <v>1305</v>
      </c>
      <c r="B2" s="1188">
        <v>2000</v>
      </c>
      <c r="C2" s="1188">
        <v>2022</v>
      </c>
      <c r="D2" s="1188" t="s">
        <v>66</v>
      </c>
      <c r="E2" s="1189" t="s">
        <v>1306</v>
      </c>
      <c r="F2" s="1189" t="s">
        <v>1307</v>
      </c>
      <c r="G2" s="1189" t="s">
        <v>1308</v>
      </c>
      <c r="H2" s="1190" t="s">
        <v>55</v>
      </c>
      <c r="I2" s="1189" t="s">
        <v>136</v>
      </c>
      <c r="J2" s="1189" t="s">
        <v>1309</v>
      </c>
      <c r="K2" s="1191" t="s">
        <v>1310</v>
      </c>
      <c r="L2" s="1192"/>
      <c r="M2" s="1191">
        <v>1</v>
      </c>
      <c r="N2" s="1275" t="s">
        <v>1311</v>
      </c>
      <c r="O2" s="1190" t="s">
        <v>1312</v>
      </c>
      <c r="P2" s="1193" t="s">
        <v>1313</v>
      </c>
      <c r="Q2" s="1194" t="s">
        <v>611</v>
      </c>
      <c r="R2" s="256" t="s">
        <v>1314</v>
      </c>
      <c r="S2" s="256" t="s">
        <v>1315</v>
      </c>
      <c r="T2" s="1195" t="s">
        <v>1316</v>
      </c>
      <c r="U2" s="1192" t="s">
        <v>1317</v>
      </c>
      <c r="V2" s="1196">
        <v>1</v>
      </c>
      <c r="W2" s="1197"/>
      <c r="X2" s="1197" t="s">
        <v>1318</v>
      </c>
      <c r="Y2" s="1188" t="s">
        <v>1319</v>
      </c>
      <c r="Z2" s="1198"/>
      <c r="AA2" s="1188" t="s">
        <v>1320</v>
      </c>
      <c r="AB2" s="1199" t="s">
        <v>1320</v>
      </c>
      <c r="AC2" s="1188" t="s">
        <v>1321</v>
      </c>
      <c r="AD2" s="1199" t="s">
        <v>1321</v>
      </c>
      <c r="AF2" s="1190" t="s">
        <v>1317</v>
      </c>
      <c r="AH2" s="1189" t="s">
        <v>1322</v>
      </c>
      <c r="AI2" s="1189" t="s">
        <v>1322</v>
      </c>
      <c r="AK2" s="1189" t="s">
        <v>1323</v>
      </c>
      <c r="AM2" s="1189" t="s">
        <v>1324</v>
      </c>
      <c r="AP2" s="1200" t="s">
        <v>1318</v>
      </c>
      <c r="AQ2" s="1201" t="s">
        <v>1318</v>
      </c>
      <c r="AS2" s="1188" t="s">
        <v>1325</v>
      </c>
      <c r="AU2" s="1233" t="s">
        <v>1326</v>
      </c>
      <c r="AW2" s="1233" t="s">
        <v>1327</v>
      </c>
      <c r="AX2" s="1233" t="s">
        <v>1327</v>
      </c>
      <c r="AZ2" s="1233" t="s">
        <v>1328</v>
      </c>
      <c r="BB2" s="1233" t="s">
        <v>1329</v>
      </c>
      <c r="BC2" s="1233" t="s">
        <v>1330</v>
      </c>
      <c r="BE2" s="1233">
        <v>2000</v>
      </c>
      <c r="BF2" s="1233" t="s">
        <v>1331</v>
      </c>
    </row>
    <row customHeight="1" ht="11.25">
      <c r="A3" s="1187" t="s">
        <v>1332</v>
      </c>
      <c r="B3" s="1188">
        <v>2001</v>
      </c>
      <c r="C3" s="1188">
        <v>2023</v>
      </c>
      <c r="D3" s="1188" t="s">
        <v>19</v>
      </c>
      <c r="E3" s="1189" t="s">
        <v>1333</v>
      </c>
      <c r="F3" s="1189" t="s">
        <v>1334</v>
      </c>
      <c r="G3" s="1189" t="s">
        <v>1335</v>
      </c>
      <c r="H3" s="1190" t="s">
        <v>1336</v>
      </c>
      <c r="I3" s="1189" t="s">
        <v>103</v>
      </c>
      <c r="J3" s="1189" t="s">
        <v>647</v>
      </c>
      <c r="K3" s="1191" t="s">
        <v>1241</v>
      </c>
      <c r="L3" s="1192">
        <f>_xlfn.IFERROR(MATCH(K3,OFFER_METHOD,0),0)</f>
        <v>52</v>
      </c>
      <c r="M3" s="1191">
        <v>2</v>
      </c>
      <c r="N3" s="1275" t="s">
        <v>1337</v>
      </c>
      <c r="O3" s="1190" t="s">
        <v>1338</v>
      </c>
      <c r="P3" s="1193" t="s">
        <v>37</v>
      </c>
      <c r="Q3" s="1194" t="s">
        <v>1339</v>
      </c>
      <c r="R3" s="256" t="s">
        <v>1340</v>
      </c>
      <c r="S3" s="256" t="s">
        <v>1341</v>
      </c>
      <c r="T3" s="1195" t="s">
        <v>1342</v>
      </c>
      <c r="U3" s="1192" t="s">
        <v>1343</v>
      </c>
      <c r="V3" s="1196">
        <v>2</v>
      </c>
      <c r="W3" s="1197"/>
      <c r="X3" s="1197" t="s">
        <v>1344</v>
      </c>
      <c r="Y3" s="1188" t="s">
        <v>1319</v>
      </c>
      <c r="Z3" s="1198"/>
      <c r="AA3" s="1188" t="s">
        <v>1345</v>
      </c>
      <c r="AB3" s="1199" t="s">
        <v>1345</v>
      </c>
      <c r="AC3" s="1188" t="s">
        <v>1346</v>
      </c>
      <c r="AD3" s="1199" t="s">
        <v>1346</v>
      </c>
      <c r="AF3" s="1190" t="s">
        <v>1343</v>
      </c>
      <c r="AH3" s="1189" t="s">
        <v>1347</v>
      </c>
      <c r="AI3" s="1189" t="s">
        <v>1348</v>
      </c>
      <c r="AK3" s="1189" t="s">
        <v>1349</v>
      </c>
      <c r="AM3" s="1189" t="s">
        <v>1350</v>
      </c>
      <c r="AP3" s="1200" t="s">
        <v>1351</v>
      </c>
      <c r="AQ3" s="1201" t="s">
        <v>1351</v>
      </c>
      <c r="AS3" s="1188" t="s">
        <v>1352</v>
      </c>
      <c r="AU3" s="1233" t="s">
        <v>1353</v>
      </c>
      <c r="AW3" s="1233" t="s">
        <v>1354</v>
      </c>
      <c r="AX3" s="1233" t="s">
        <v>1354</v>
      </c>
      <c r="AZ3" s="1233" t="s">
        <v>1355</v>
      </c>
      <c r="BB3" s="1233" t="s">
        <v>1356</v>
      </c>
      <c r="BC3" s="1233" t="s">
        <v>1330</v>
      </c>
      <c r="BE3" s="1233">
        <v>2001</v>
      </c>
      <c r="BF3" s="1233" t="s">
        <v>1357</v>
      </c>
      <c r="BH3" s="1180" t="s">
        <v>1358</v>
      </c>
      <c r="BJ3" s="1180" t="s">
        <v>1359</v>
      </c>
      <c r="BL3" s="1180" t="s">
        <v>1360</v>
      </c>
      <c r="BN3" s="1180" t="s">
        <v>1361</v>
      </c>
      <c r="BR3" s="1180" t="s">
        <v>1362</v>
      </c>
      <c r="BS3" s="1541"/>
      <c r="BT3" s="1183"/>
      <c r="BU3" s="1180" t="s">
        <v>1363</v>
      </c>
      <c r="BV3" s="1183"/>
      <c r="BW3" s="1803"/>
      <c r="BX3" s="1805" t="s">
        <v>1364</v>
      </c>
      <c r="CA3" s="1180" t="s">
        <v>1365</v>
      </c>
    </row>
    <row customHeight="1" ht="11.25">
      <c r="A4" s="1187" t="s">
        <v>1366</v>
      </c>
      <c r="B4" s="1188">
        <v>2002</v>
      </c>
      <c r="C4" s="1188">
        <v>2024</v>
      </c>
      <c r="E4" s="1189" t="s">
        <v>1367</v>
      </c>
      <c r="F4" s="1189" t="s">
        <v>1368</v>
      </c>
      <c r="H4" s="1190" t="s">
        <v>1369</v>
      </c>
      <c r="I4" s="1189" t="s">
        <v>90</v>
      </c>
      <c r="J4" s="1189" t="s">
        <v>1370</v>
      </c>
      <c r="K4" s="1191" t="s">
        <v>1371</v>
      </c>
      <c r="L4" s="1192">
        <f>_xlfn.IFERROR(MATCH(K4,OFFER_METHOD,0),0)</f>
        <v>0</v>
      </c>
      <c r="M4" s="1191">
        <v>3</v>
      </c>
      <c r="N4" s="1275" t="s">
        <v>1372</v>
      </c>
      <c r="O4" s="1189" t="s">
        <v>1373</v>
      </c>
      <c r="Q4" s="1194" t="s">
        <v>1374</v>
      </c>
      <c r="R4" s="256" t="s">
        <v>1375</v>
      </c>
      <c r="S4" s="256" t="s">
        <v>1376</v>
      </c>
      <c r="T4" s="1195" t="s">
        <v>1377</v>
      </c>
      <c r="U4" s="1192" t="s">
        <v>1378</v>
      </c>
      <c r="V4" s="1196">
        <v>3</v>
      </c>
      <c r="W4" s="1197"/>
      <c r="X4" s="1197" t="s">
        <v>1379</v>
      </c>
      <c r="Y4" s="1188" t="s">
        <v>1319</v>
      </c>
      <c r="Z4" s="1204"/>
      <c r="AC4" s="1188" t="s">
        <v>1380</v>
      </c>
      <c r="AD4" s="1199" t="s">
        <v>1380</v>
      </c>
      <c r="AF4" s="1190" t="s">
        <v>1378</v>
      </c>
      <c r="AH4" s="1190" t="s">
        <v>1381</v>
      </c>
      <c r="AK4" s="1189" t="s">
        <v>1382</v>
      </c>
      <c r="AM4" s="1189" t="s">
        <v>1383</v>
      </c>
      <c r="AP4" s="1200" t="s">
        <v>1344</v>
      </c>
      <c r="AQ4" s="1201" t="s">
        <v>1344</v>
      </c>
      <c r="AS4" s="1188" t="s">
        <v>1384</v>
      </c>
      <c r="AU4" s="1233" t="s">
        <v>1385</v>
      </c>
      <c r="AW4" s="1233" t="s">
        <v>1386</v>
      </c>
      <c r="AX4" s="1233" t="s">
        <v>1386</v>
      </c>
      <c r="AZ4" s="1233" t="s">
        <v>1387</v>
      </c>
      <c r="BB4" s="1233" t="s">
        <v>1388</v>
      </c>
      <c r="BC4" s="1233" t="s">
        <v>1389</v>
      </c>
      <c r="BE4" s="1233">
        <v>2002</v>
      </c>
      <c r="BF4" s="1233" t="s">
        <v>1390</v>
      </c>
      <c r="BH4" s="1181" t="s">
        <v>1391</v>
      </c>
      <c r="BJ4" s="1181" t="s">
        <v>1391</v>
      </c>
      <c r="BL4" s="1181" t="s">
        <v>1391</v>
      </c>
      <c r="BN4" s="1181" t="s">
        <v>1391</v>
      </c>
      <c r="BQ4" s="1545" t="s">
        <v>1392</v>
      </c>
      <c r="BR4" s="1272" t="s">
        <v>1393</v>
      </c>
      <c r="BS4" s="387"/>
      <c r="BT4" s="1545" t="s">
        <v>1394</v>
      </c>
      <c r="BU4" s="1272" t="s">
        <v>1395</v>
      </c>
      <c r="BV4" s="1183"/>
      <c r="BW4" s="1810" t="s">
        <v>1396</v>
      </c>
      <c r="BX4" s="1804" t="s">
        <v>1397</v>
      </c>
      <c r="BZ4" s="1545" t="s">
        <v>1398</v>
      </c>
      <c r="CA4" s="1272" t="s">
        <v>1399</v>
      </c>
    </row>
    <row customHeight="1" ht="11.25">
      <c r="A5" s="1187" t="s">
        <v>1400</v>
      </c>
      <c r="B5" s="1188">
        <v>2003</v>
      </c>
      <c r="C5" s="1188">
        <v>2025</v>
      </c>
      <c r="E5" s="1189" t="s">
        <v>1401</v>
      </c>
      <c r="F5" s="1189" t="s">
        <v>1402</v>
      </c>
      <c r="H5" s="1190" t="s">
        <v>1403</v>
      </c>
      <c r="I5" s="1189" t="s">
        <v>91</v>
      </c>
      <c r="K5" s="1191" t="s">
        <v>1404</v>
      </c>
      <c r="L5" s="1192">
        <f>_xlfn.IFERROR(MATCH(K5,OFFER_METHOD,0),0)</f>
        <v>0</v>
      </c>
      <c r="M5" s="1191">
        <v>4</v>
      </c>
      <c r="N5" s="1205" t="s">
        <v>1405</v>
      </c>
      <c r="O5" s="1189" t="s">
        <v>1406</v>
      </c>
      <c r="Q5" s="1194" t="s">
        <v>1407</v>
      </c>
      <c r="R5" s="256" t="s">
        <v>1408</v>
      </c>
      <c r="T5" s="1190" t="s">
        <v>1409</v>
      </c>
      <c r="U5" s="1192" t="s">
        <v>1410</v>
      </c>
      <c r="V5" s="1196">
        <v>4</v>
      </c>
      <c r="W5" s="1197"/>
      <c r="X5" s="1197" t="s">
        <v>197</v>
      </c>
      <c r="Y5" s="1188" t="s">
        <v>1411</v>
      </c>
      <c r="Z5" s="1204">
        <v>1</v>
      </c>
      <c r="AF5" s="1190" t="s">
        <v>1412</v>
      </c>
      <c r="AH5" s="1189" t="s">
        <v>1413</v>
      </c>
      <c r="AK5" s="1189" t="s">
        <v>1414</v>
      </c>
      <c r="AM5" s="1189" t="s">
        <v>1415</v>
      </c>
      <c r="AP5" s="1200" t="s">
        <v>197</v>
      </c>
      <c r="AQ5" s="1201" t="s">
        <v>197</v>
      </c>
      <c r="AU5" s="1233" t="s">
        <v>1416</v>
      </c>
      <c r="AW5" s="1233" t="s">
        <v>1417</v>
      </c>
      <c r="AX5" s="1233" t="s">
        <v>1417</v>
      </c>
      <c r="AZ5" s="1233" t="s">
        <v>1418</v>
      </c>
      <c r="BB5" s="1233" t="s">
        <v>1419</v>
      </c>
      <c r="BC5" s="1233" t="s">
        <v>1420</v>
      </c>
      <c r="BE5" s="1233">
        <v>2003</v>
      </c>
      <c r="BF5" s="1233" t="s">
        <v>1421</v>
      </c>
      <c r="BH5" s="1181" t="s">
        <v>1422</v>
      </c>
      <c r="BJ5" s="1181" t="s">
        <v>1422</v>
      </c>
      <c r="BL5" s="1181" t="s">
        <v>1422</v>
      </c>
      <c r="BN5" s="1181" t="s">
        <v>1423</v>
      </c>
      <c r="BQ5" s="1394">
        <v>4213775</v>
      </c>
      <c r="BR5" s="1181" t="s">
        <v>1318</v>
      </c>
      <c r="BS5" s="1542"/>
      <c r="BT5" s="1394">
        <v>64236871</v>
      </c>
      <c r="BU5" s="1181" t="s">
        <v>258</v>
      </c>
      <c r="BV5" s="1183"/>
      <c r="BW5" s="1808">
        <v>4213767</v>
      </c>
      <c r="BX5" s="1806" t="s">
        <v>1424</v>
      </c>
      <c r="BZ5" s="1394">
        <v>64237509</v>
      </c>
      <c r="CA5" s="1408" t="s">
        <v>1425</v>
      </c>
    </row>
    <row customHeight="1" ht="11.25">
      <c r="A6" s="1187" t="s">
        <v>1426</v>
      </c>
      <c r="B6" s="1188">
        <v>2004</v>
      </c>
      <c r="C6" s="1188">
        <v>2026</v>
      </c>
      <c r="E6" s="1189" t="s">
        <v>1427</v>
      </c>
      <c r="F6" s="1206"/>
      <c r="H6" s="1190" t="s">
        <v>1428</v>
      </c>
      <c r="I6" s="1189" t="s">
        <v>116</v>
      </c>
      <c r="J6" s="1180" t="s">
        <v>1429</v>
      </c>
      <c r="L6" s="1192">
        <f>SUM(kind_of_control_method_filter)</f>
        <v>52</v>
      </c>
      <c r="N6" s="1205" t="s">
        <v>1430</v>
      </c>
      <c r="O6" s="1189" t="s">
        <v>1431</v>
      </c>
      <c r="R6" s="256" t="s">
        <v>611</v>
      </c>
      <c r="T6" s="1190" t="s">
        <v>1432</v>
      </c>
      <c r="U6" s="1192" t="s">
        <v>1412</v>
      </c>
      <c r="V6" s="1196">
        <v>5</v>
      </c>
      <c r="W6" s="1197"/>
      <c r="X6" s="1188" t="s">
        <v>203</v>
      </c>
      <c r="Y6" s="1188" t="s">
        <v>1433</v>
      </c>
      <c r="Z6" s="1204"/>
      <c r="AA6" s="1207"/>
      <c r="AH6" s="1189" t="s">
        <v>1434</v>
      </c>
      <c r="AK6" s="1189" t="s">
        <v>1435</v>
      </c>
      <c r="AM6" s="1189" t="s">
        <v>1436</v>
      </c>
      <c r="AP6" s="1200" t="s">
        <v>203</v>
      </c>
      <c r="AQ6" s="1201" t="s">
        <v>203</v>
      </c>
      <c r="AU6" s="1233" t="s">
        <v>1437</v>
      </c>
      <c r="AW6" s="1233" t="s">
        <v>1438</v>
      </c>
      <c r="AX6" s="1233" t="s">
        <v>1438</v>
      </c>
      <c r="BB6" s="1233" t="s">
        <v>1439</v>
      </c>
      <c r="BC6" s="1233" t="s">
        <v>1420</v>
      </c>
      <c r="BE6" s="1233">
        <v>2004</v>
      </c>
      <c r="BF6" s="1233" t="s">
        <v>1440</v>
      </c>
      <c r="BH6" s="1181" t="s">
        <v>1441</v>
      </c>
      <c r="BJ6" s="1181" t="s">
        <v>1442</v>
      </c>
      <c r="BL6" s="1181" t="s">
        <v>1442</v>
      </c>
      <c r="BN6" s="1181" t="s">
        <v>1443</v>
      </c>
      <c r="BQ6" s="1394">
        <v>4213784</v>
      </c>
      <c r="BR6" s="1408" t="s">
        <v>1351</v>
      </c>
      <c r="BS6" s="1543"/>
      <c r="BT6" s="1394">
        <v>64236872</v>
      </c>
      <c r="BU6" s="1181" t="s">
        <v>263</v>
      </c>
      <c r="BV6" s="1183"/>
      <c r="BW6" s="1808">
        <v>4213768</v>
      </c>
      <c r="BX6" s="1806" t="s">
        <v>283</v>
      </c>
      <c r="BZ6" s="1394">
        <v>64237510</v>
      </c>
      <c r="CA6" s="1181" t="s">
        <v>1444</v>
      </c>
    </row>
    <row customHeight="1" ht="11.25">
      <c r="A7" s="1187" t="s">
        <v>1445</v>
      </c>
      <c r="B7" s="1188">
        <v>2005</v>
      </c>
      <c r="E7" s="1189" t="s">
        <v>1446</v>
      </c>
      <c r="F7" s="1206"/>
      <c r="H7" s="1190" t="s">
        <v>1447</v>
      </c>
      <c r="I7" s="1189" t="s">
        <v>92</v>
      </c>
      <c r="J7" s="1189" t="s">
        <v>1448</v>
      </c>
      <c r="N7" s="1209" t="s">
        <v>1449</v>
      </c>
      <c r="O7" s="1189" t="s">
        <v>1450</v>
      </c>
      <c r="U7" s="1192" t="s">
        <v>19</v>
      </c>
      <c r="V7" s="483" t="s">
        <v>92</v>
      </c>
      <c r="W7" s="1197"/>
      <c r="X7" s="1188" t="s">
        <v>209</v>
      </c>
      <c r="Y7" s="1188" t="s">
        <v>1411</v>
      </c>
      <c r="Z7" s="1204"/>
      <c r="AA7" s="1207"/>
      <c r="AH7" s="1189" t="s">
        <v>1451</v>
      </c>
      <c r="AK7" s="1189" t="s">
        <v>1452</v>
      </c>
      <c r="AM7" s="1189" t="s">
        <v>1453</v>
      </c>
      <c r="AP7" s="1200" t="s">
        <v>209</v>
      </c>
      <c r="AQ7" s="1201" t="s">
        <v>209</v>
      </c>
      <c r="AU7" s="1233" t="s">
        <v>1454</v>
      </c>
      <c r="AW7" s="1233" t="s">
        <v>1455</v>
      </c>
      <c r="AX7" s="1233" t="s">
        <v>1455</v>
      </c>
      <c r="AZ7" s="1180" t="s">
        <v>1456</v>
      </c>
      <c r="BB7" s="1233" t="s">
        <v>1457</v>
      </c>
      <c r="BC7" s="1233" t="s">
        <v>1420</v>
      </c>
      <c r="BE7" s="1233">
        <v>2005</v>
      </c>
      <c r="BF7" s="1233" t="s">
        <v>1458</v>
      </c>
      <c r="BH7" s="1181" t="s">
        <v>1459</v>
      </c>
      <c r="BJ7" s="1181" t="s">
        <v>1441</v>
      </c>
      <c r="BL7" s="1181" t="s">
        <v>1441</v>
      </c>
      <c r="BN7" s="1181" t="s">
        <v>1460</v>
      </c>
      <c r="BQ7" s="1394">
        <v>4213781</v>
      </c>
      <c r="BR7" s="1181" t="s">
        <v>1344</v>
      </c>
      <c r="BS7" s="1542"/>
      <c r="BT7" s="1394">
        <v>64236873</v>
      </c>
      <c r="BU7" s="1181" t="s">
        <v>268</v>
      </c>
      <c r="BV7" s="1183"/>
      <c r="BW7" s="1808">
        <v>4213769</v>
      </c>
      <c r="BX7" s="1806" t="s">
        <v>1461</v>
      </c>
      <c r="BZ7" s="1394">
        <v>64237511</v>
      </c>
      <c r="CA7" s="1181" t="s">
        <v>362</v>
      </c>
    </row>
    <row customHeight="1" ht="11.25">
      <c r="A8" s="1187" t="s">
        <v>1462</v>
      </c>
      <c r="B8" s="1188">
        <v>2006</v>
      </c>
      <c r="E8" s="1189" t="s">
        <v>1463</v>
      </c>
      <c r="F8" s="1206"/>
      <c r="H8" s="1190" t="s">
        <v>1464</v>
      </c>
      <c r="I8" s="1189" t="s">
        <v>93</v>
      </c>
      <c r="J8" s="1189" t="s">
        <v>1465</v>
      </c>
      <c r="N8" s="1276" t="s">
        <v>1466</v>
      </c>
      <c r="O8" s="1189" t="s">
        <v>1467</v>
      </c>
      <c r="V8" s="483" t="s">
        <v>93</v>
      </c>
      <c r="W8" s="1197"/>
      <c r="X8" s="1188" t="s">
        <v>215</v>
      </c>
      <c r="Y8" s="1188" t="s">
        <v>1411</v>
      </c>
      <c r="Z8" s="1204"/>
      <c r="AA8" s="1207"/>
      <c r="AK8" s="1189" t="s">
        <v>1468</v>
      </c>
      <c r="AP8" s="1200" t="s">
        <v>215</v>
      </c>
      <c r="AQ8" s="1201" t="s">
        <v>215</v>
      </c>
      <c r="AU8" s="1233" t="s">
        <v>1469</v>
      </c>
      <c r="AW8" s="1233" t="s">
        <v>1470</v>
      </c>
      <c r="AX8" s="1233" t="s">
        <v>1470</v>
      </c>
      <c r="AZ8" s="1233" t="s">
        <v>1471</v>
      </c>
      <c r="BB8" s="1233" t="s">
        <v>1472</v>
      </c>
      <c r="BC8" s="1233" t="s">
        <v>1420</v>
      </c>
      <c r="BE8" s="1233">
        <v>2006</v>
      </c>
      <c r="BF8" s="1233" t="s">
        <v>1473</v>
      </c>
      <c r="BH8" s="1181" t="s">
        <v>1474</v>
      </c>
      <c r="BJ8" s="1181" t="s">
        <v>1475</v>
      </c>
      <c r="BL8" s="1181" t="s">
        <v>1475</v>
      </c>
      <c r="BN8" s="1181" t="s">
        <v>1476</v>
      </c>
      <c r="BQ8" s="1394">
        <v>4213776</v>
      </c>
      <c r="BR8" s="1181" t="s">
        <v>197</v>
      </c>
      <c r="BS8" s="1542"/>
      <c r="BT8" s="1394">
        <v>64236874</v>
      </c>
      <c r="BU8" s="1408" t="s">
        <v>1477</v>
      </c>
      <c r="BV8" s="1183"/>
      <c r="BW8" s="1808">
        <v>4213770</v>
      </c>
      <c r="BX8" s="1809" t="s">
        <v>1478</v>
      </c>
      <c r="BZ8" s="1394">
        <v>64237512</v>
      </c>
      <c r="CA8" s="1181" t="s">
        <v>293</v>
      </c>
    </row>
    <row customHeight="1" ht="11.25">
      <c r="A9" s="1187" t="s">
        <v>1479</v>
      </c>
      <c r="B9" s="1188">
        <v>2007</v>
      </c>
      <c r="E9" s="1189" t="s">
        <v>1480</v>
      </c>
      <c r="F9" s="1206"/>
      <c r="G9" s="1180" t="s">
        <v>1481</v>
      </c>
      <c r="H9" s="1180" t="s">
        <v>1482</v>
      </c>
      <c r="I9" s="1189" t="s">
        <v>129</v>
      </c>
      <c r="O9" s="1189" t="s">
        <v>1483</v>
      </c>
      <c r="V9" s="483" t="s">
        <v>129</v>
      </c>
      <c r="W9" s="1197"/>
      <c r="X9" s="1188" t="s">
        <v>221</v>
      </c>
      <c r="Y9" s="1188" t="s">
        <v>1319</v>
      </c>
      <c r="Z9" s="1204">
        <v>1</v>
      </c>
      <c r="AA9" s="1207"/>
      <c r="AK9" s="1189" t="s">
        <v>1484</v>
      </c>
      <c r="AP9" s="1200" t="s">
        <v>1485</v>
      </c>
      <c r="AQ9" s="1201" t="s">
        <v>1485</v>
      </c>
      <c r="AW9" s="1233" t="s">
        <v>1486</v>
      </c>
      <c r="AX9" s="1233" t="s">
        <v>1486</v>
      </c>
      <c r="AZ9" s="1233" t="s">
        <v>1487</v>
      </c>
      <c r="BB9" s="1233" t="s">
        <v>1488</v>
      </c>
      <c r="BC9" s="1233" t="s">
        <v>1420</v>
      </c>
      <c r="BE9" s="1233">
        <v>2007</v>
      </c>
      <c r="BF9" s="1233" t="s">
        <v>1489</v>
      </c>
      <c r="BH9" s="1181" t="s">
        <v>1490</v>
      </c>
      <c r="BJ9" s="1181" t="s">
        <v>1491</v>
      </c>
      <c r="BL9" s="1181" t="s">
        <v>1491</v>
      </c>
      <c r="BN9" s="1181" t="s">
        <v>1492</v>
      </c>
      <c r="BQ9" s="1394">
        <v>4213777</v>
      </c>
      <c r="BR9" s="1181" t="s">
        <v>203</v>
      </c>
      <c r="BS9" s="1542"/>
      <c r="BT9" s="1394">
        <v>64236875</v>
      </c>
      <c r="BU9" s="1181" t="s">
        <v>273</v>
      </c>
      <c r="BV9" s="1183"/>
      <c r="BW9" s="1803"/>
      <c r="BX9" s="1803"/>
    </row>
    <row customHeight="1" ht="11.25">
      <c r="A10" s="1187" t="s">
        <v>1493</v>
      </c>
      <c r="B10" s="1188">
        <v>2008</v>
      </c>
      <c r="E10" s="1189" t="s">
        <v>1494</v>
      </c>
      <c r="F10" s="1206"/>
      <c r="G10" s="1189" t="s">
        <v>1495</v>
      </c>
      <c r="H10" s="1189" t="s">
        <v>1496</v>
      </c>
      <c r="I10" s="1189" t="s">
        <v>134</v>
      </c>
      <c r="J10" s="1180" t="s">
        <v>1497</v>
      </c>
      <c r="K10" s="1180" t="s">
        <v>1498</v>
      </c>
      <c r="O10" s="1189" t="s">
        <v>1499</v>
      </c>
      <c r="V10" s="484" t="s">
        <v>134</v>
      </c>
      <c r="W10" s="1210"/>
      <c r="X10" s="1210" t="s">
        <v>1500</v>
      </c>
      <c r="Y10" s="1211" t="s">
        <v>1501</v>
      </c>
      <c r="Z10" s="1204"/>
      <c r="AP10" s="1200" t="s">
        <v>1500</v>
      </c>
      <c r="AQ10" s="1201" t="s">
        <v>1500</v>
      </c>
      <c r="AW10" s="1233" t="s">
        <v>1502</v>
      </c>
      <c r="AX10" s="1233" t="s">
        <v>1502</v>
      </c>
      <c r="AZ10" s="1233" t="s">
        <v>1503</v>
      </c>
      <c r="BB10" s="1233" t="s">
        <v>1504</v>
      </c>
      <c r="BC10" s="1233" t="s">
        <v>1420</v>
      </c>
      <c r="BE10" s="1233">
        <v>2008</v>
      </c>
      <c r="BF10" s="1233" t="s">
        <v>1505</v>
      </c>
      <c r="BH10" s="1181" t="s">
        <v>1506</v>
      </c>
      <c r="BJ10" s="1181" t="s">
        <v>1507</v>
      </c>
      <c r="BL10" s="1181" t="s">
        <v>1507</v>
      </c>
      <c r="BN10" s="1181" t="s">
        <v>1508</v>
      </c>
      <c r="BQ10" s="1394">
        <v>4213778</v>
      </c>
      <c r="BR10" s="1181" t="s">
        <v>209</v>
      </c>
      <c r="BS10" s="1542"/>
      <c r="BT10" s="1394">
        <v>64236876</v>
      </c>
      <c r="BU10" s="1181" t="s">
        <v>253</v>
      </c>
      <c r="BV10" s="1183"/>
      <c r="BW10" s="1803"/>
      <c r="BX10" s="1803"/>
    </row>
    <row customHeight="1" ht="11.25">
      <c r="A11" s="1187" t="s">
        <v>1509</v>
      </c>
      <c r="B11" s="1188">
        <v>2009</v>
      </c>
      <c r="E11" s="1189" t="s">
        <v>1510</v>
      </c>
      <c r="F11" s="1206"/>
      <c r="G11" s="1189" t="s">
        <v>1511</v>
      </c>
      <c r="H11" s="1189" t="s">
        <v>1512</v>
      </c>
      <c r="I11" s="1189" t="s">
        <v>180</v>
      </c>
      <c r="J11" s="1190" t="s">
        <v>1513</v>
      </c>
      <c r="K11" s="1212" t="s">
        <v>1514</v>
      </c>
      <c r="O11" s="1190" t="s">
        <v>1515</v>
      </c>
      <c r="V11" s="483" t="s">
        <v>180</v>
      </c>
      <c r="W11" s="388"/>
      <c r="X11" s="1197" t="s">
        <v>1485</v>
      </c>
      <c r="Y11" s="1188" t="s">
        <v>1516</v>
      </c>
      <c r="Z11" s="1204"/>
      <c r="AP11" s="1200" t="s">
        <v>221</v>
      </c>
      <c r="AQ11" s="1202" t="s">
        <v>221</v>
      </c>
      <c r="AW11" s="1233" t="s">
        <v>1517</v>
      </c>
      <c r="AX11" s="1233" t="s">
        <v>1517</v>
      </c>
      <c r="AZ11" s="1233" t="s">
        <v>1518</v>
      </c>
      <c r="BB11" s="1233" t="s">
        <v>1519</v>
      </c>
      <c r="BC11" s="1233" t="s">
        <v>1420</v>
      </c>
      <c r="BE11" s="1233">
        <v>2009</v>
      </c>
      <c r="BF11" s="1233" t="s">
        <v>1520</v>
      </c>
      <c r="BH11" s="1181" t="s">
        <v>1521</v>
      </c>
      <c r="BJ11" s="1181" t="s">
        <v>1490</v>
      </c>
      <c r="BL11" s="1181" t="s">
        <v>1490</v>
      </c>
      <c r="BN11" s="1181" t="s">
        <v>1522</v>
      </c>
      <c r="BQ11" s="1394">
        <v>4213780</v>
      </c>
      <c r="BR11" s="1181" t="s">
        <v>215</v>
      </c>
      <c r="BS11" s="1542"/>
      <c r="BW11" s="1803"/>
      <c r="BX11" s="1803"/>
    </row>
    <row customHeight="1" ht="11.25">
      <c r="A12" s="1187" t="s">
        <v>1523</v>
      </c>
      <c r="B12" s="1188">
        <v>2010</v>
      </c>
      <c r="E12" s="1189" t="s">
        <v>1524</v>
      </c>
      <c r="F12" s="1206"/>
      <c r="G12" s="1189" t="s">
        <v>1512</v>
      </c>
      <c r="I12" s="1189" t="s">
        <v>181</v>
      </c>
      <c r="J12" s="1190" t="s">
        <v>1525</v>
      </c>
      <c r="K12" s="1212" t="s">
        <v>1526</v>
      </c>
      <c r="O12" s="1190" t="s">
        <v>611</v>
      </c>
      <c r="V12" s="483" t="s">
        <v>181</v>
      </c>
      <c r="W12" s="1202"/>
      <c r="X12" s="1197" t="s">
        <v>1527</v>
      </c>
      <c r="Y12" s="1188" t="s">
        <v>1319</v>
      </c>
      <c r="AP12" s="1200"/>
      <c r="AW12" s="1233" t="s">
        <v>180</v>
      </c>
      <c r="AX12" s="1233" t="s">
        <v>180</v>
      </c>
      <c r="AZ12" s="1233" t="s">
        <v>1528</v>
      </c>
      <c r="BB12" s="1233" t="s">
        <v>1529</v>
      </c>
      <c r="BC12" s="1233" t="s">
        <v>1420</v>
      </c>
      <c r="BE12" s="1233">
        <v>2010</v>
      </c>
      <c r="BF12" s="1233" t="s">
        <v>1530</v>
      </c>
      <c r="BH12" s="1181" t="s">
        <v>1531</v>
      </c>
      <c r="BJ12" s="1181" t="s">
        <v>1532</v>
      </c>
      <c r="BL12" s="1181" t="s">
        <v>1532</v>
      </c>
      <c r="BN12" s="1181" t="s">
        <v>1533</v>
      </c>
      <c r="BQ12" s="1394">
        <v>4213779</v>
      </c>
      <c r="BR12" s="1181" t="s">
        <v>1485</v>
      </c>
      <c r="BS12" s="1542"/>
      <c r="BT12" s="1183"/>
      <c r="BU12" s="1183"/>
      <c r="BV12" s="1183"/>
      <c r="BW12" s="1803"/>
      <c r="BX12" s="1803"/>
    </row>
    <row customHeight="1" ht="11.25">
      <c r="A13" s="1187" t="s">
        <v>1534</v>
      </c>
      <c r="B13" s="1188">
        <v>2011</v>
      </c>
      <c r="E13" s="1189" t="s">
        <v>1535</v>
      </c>
      <c r="F13" s="1206"/>
      <c r="I13" s="1189" t="s">
        <v>182</v>
      </c>
      <c r="K13" s="1212" t="s">
        <v>1484</v>
      </c>
      <c r="V13" s="483" t="s">
        <v>182</v>
      </c>
      <c r="W13" s="1202"/>
      <c r="X13" s="1202"/>
      <c r="Y13" s="1202"/>
      <c r="AW13" s="1233" t="s">
        <v>181</v>
      </c>
      <c r="AX13" s="1233" t="s">
        <v>181</v>
      </c>
      <c r="BB13" s="1233" t="s">
        <v>1536</v>
      </c>
      <c r="BC13" s="1233" t="s">
        <v>1537</v>
      </c>
      <c r="BE13" s="1233">
        <v>2011</v>
      </c>
      <c r="BF13" s="1233" t="s">
        <v>1538</v>
      </c>
      <c r="BH13" s="1181" t="s">
        <v>1539</v>
      </c>
      <c r="BJ13" s="1181" t="s">
        <v>1521</v>
      </c>
      <c r="BL13" s="1181" t="s">
        <v>1521</v>
      </c>
      <c r="BN13" s="1181" t="s">
        <v>1540</v>
      </c>
      <c r="BQ13" s="1394">
        <v>4213783</v>
      </c>
      <c r="BR13" s="1181" t="s">
        <v>1500</v>
      </c>
      <c r="BS13" s="1542"/>
      <c r="BT13" s="1183"/>
      <c r="BU13" s="1183"/>
      <c r="BV13" s="1183"/>
      <c r="BW13" s="1807"/>
      <c r="BX13" s="1803"/>
    </row>
    <row customHeight="1" ht="11.25">
      <c r="A14" s="1187" t="s">
        <v>1541</v>
      </c>
      <c r="B14" s="1188">
        <v>2012</v>
      </c>
      <c r="I14" s="1189" t="s">
        <v>183</v>
      </c>
      <c r="J14" s="1180" t="s">
        <v>1542</v>
      </c>
      <c r="N14" s="1180" t="s">
        <v>1543</v>
      </c>
      <c r="V14" s="1196">
        <v>13</v>
      </c>
      <c r="W14" s="1197"/>
      <c r="X14" s="1197" t="s">
        <v>1351</v>
      </c>
      <c r="Y14" s="1188" t="s">
        <v>1319</v>
      </c>
      <c r="AW14" s="1233" t="s">
        <v>182</v>
      </c>
      <c r="AX14" s="1233" t="s">
        <v>182</v>
      </c>
      <c r="AZ14" s="1180" t="s">
        <v>1544</v>
      </c>
      <c r="BB14" s="1233" t="s">
        <v>1545</v>
      </c>
      <c r="BC14" s="1233" t="s">
        <v>1537</v>
      </c>
      <c r="BE14" s="1233">
        <v>2012</v>
      </c>
      <c r="BH14" s="1181" t="s">
        <v>1460</v>
      </c>
      <c r="BJ14" s="1330" t="s">
        <v>1546</v>
      </c>
      <c r="BL14" s="1330" t="s">
        <v>1546</v>
      </c>
      <c r="BN14" s="1181" t="s">
        <v>1547</v>
      </c>
      <c r="BQ14" s="1394">
        <v>4213782</v>
      </c>
      <c r="BR14" s="1181" t="s">
        <v>221</v>
      </c>
      <c r="BS14" s="1542"/>
      <c r="BT14" s="1183"/>
      <c r="BU14" s="1183"/>
      <c r="BV14" s="1183"/>
      <c r="BW14" s="1807"/>
      <c r="BX14" s="1803"/>
    </row>
    <row customHeight="1" ht="19.5">
      <c r="A15" s="1187" t="s">
        <v>1548</v>
      </c>
      <c r="B15" s="1188">
        <v>2013</v>
      </c>
      <c r="E15" s="1811" t="s">
        <v>1549</v>
      </c>
      <c r="G15" s="1180" t="s">
        <v>1550</v>
      </c>
      <c r="H15" s="1180" t="s">
        <v>1551</v>
      </c>
      <c r="I15" s="1191" t="s">
        <v>184</v>
      </c>
      <c r="J15" s="1202" t="s">
        <v>674</v>
      </c>
      <c r="N15" s="1271" t="s">
        <v>1552</v>
      </c>
      <c r="X15" s="1200"/>
      <c r="AW15" s="1233" t="s">
        <v>183</v>
      </c>
      <c r="AX15" s="1233" t="s">
        <v>183</v>
      </c>
      <c r="AZ15" s="1233" t="s">
        <v>1471</v>
      </c>
      <c r="BB15" s="1233" t="s">
        <v>1553</v>
      </c>
      <c r="BC15" s="1233" t="s">
        <v>1537</v>
      </c>
      <c r="BE15" s="1233">
        <v>2013</v>
      </c>
      <c r="BH15" s="1181" t="s">
        <v>1476</v>
      </c>
      <c r="BJ15" s="1330" t="s">
        <v>1554</v>
      </c>
      <c r="BL15" s="1330" t="s">
        <v>1554</v>
      </c>
      <c r="BN15" s="1181" t="s">
        <v>1555</v>
      </c>
      <c r="BR15" s="1183"/>
      <c r="BS15" s="1544"/>
      <c r="BT15" s="1183"/>
      <c r="BU15" s="1183"/>
      <c r="BV15" s="1183"/>
      <c r="BW15" s="1807"/>
      <c r="BX15" s="1803"/>
    </row>
    <row customHeight="1" ht="21">
      <c r="A16" s="1983" t="s">
        <v>1556</v>
      </c>
      <c r="B16" s="1188">
        <v>2014</v>
      </c>
      <c r="E16" s="1812" t="s">
        <v>1557</v>
      </c>
      <c r="G16" s="1189" t="s">
        <v>1558</v>
      </c>
      <c r="H16" s="1189" t="s">
        <v>1559</v>
      </c>
      <c r="I16" s="1191" t="s">
        <v>1560</v>
      </c>
      <c r="J16" s="1202" t="s">
        <v>647</v>
      </c>
      <c r="N16" s="1271" t="s">
        <v>1561</v>
      </c>
      <c r="AW16" s="1233" t="s">
        <v>184</v>
      </c>
      <c r="AX16" s="1233" t="s">
        <v>184</v>
      </c>
      <c r="AZ16" s="1233" t="s">
        <v>1487</v>
      </c>
      <c r="BB16" s="1233" t="s">
        <v>1562</v>
      </c>
      <c r="BC16" s="1233" t="s">
        <v>1537</v>
      </c>
      <c r="BE16" s="1233">
        <v>2014</v>
      </c>
      <c r="BH16" s="1181" t="s">
        <v>1492</v>
      </c>
      <c r="BJ16" s="1330" t="s">
        <v>1563</v>
      </c>
      <c r="BL16" s="1330" t="s">
        <v>1563</v>
      </c>
      <c r="BN16" s="1181" t="s">
        <v>1564</v>
      </c>
      <c r="BR16" s="1183"/>
      <c r="BS16" s="1544"/>
      <c r="BT16" s="1183"/>
      <c r="BU16" s="1183"/>
      <c r="BV16" s="1183"/>
      <c r="BW16" s="1807"/>
      <c r="BX16" s="1803"/>
    </row>
    <row customHeight="1" ht="21">
      <c r="A17" s="1187" t="s">
        <v>1565</v>
      </c>
      <c r="B17" s="1188">
        <v>2015</v>
      </c>
      <c r="G17" s="1189" t="s">
        <v>1512</v>
      </c>
      <c r="H17" s="1189" t="s">
        <v>1512</v>
      </c>
      <c r="I17" s="1189" t="s">
        <v>110</v>
      </c>
      <c r="N17" s="1271" t="s">
        <v>1566</v>
      </c>
      <c r="X17" s="1200"/>
      <c r="AW17" s="1233" t="s">
        <v>1560</v>
      </c>
      <c r="AX17" s="1233" t="s">
        <v>1560</v>
      </c>
      <c r="AZ17" s="1233" t="s">
        <v>1567</v>
      </c>
      <c r="BB17" s="1233" t="s">
        <v>1568</v>
      </c>
      <c r="BC17" s="1233" t="s">
        <v>1420</v>
      </c>
      <c r="BE17" s="1233">
        <v>2015</v>
      </c>
      <c r="BH17" s="1181" t="s">
        <v>1508</v>
      </c>
      <c r="BJ17" s="1330" t="s">
        <v>1569</v>
      </c>
      <c r="BL17" s="1330" t="s">
        <v>1569</v>
      </c>
      <c r="BN17" s="1181" t="s">
        <v>1570</v>
      </c>
      <c r="BR17" s="1180" t="s">
        <v>1362</v>
      </c>
      <c r="BS17" s="1541"/>
      <c r="BU17" s="1180" t="s">
        <v>1571</v>
      </c>
      <c r="BV17" s="1183"/>
      <c r="BW17" s="1803"/>
      <c r="BX17" s="1805" t="s">
        <v>1572</v>
      </c>
      <c r="CA17" s="1180" t="s">
        <v>1573</v>
      </c>
      <c r="CD17" s="1180" t="s">
        <v>1574</v>
      </c>
    </row>
    <row customHeight="1" ht="21">
      <c r="A18" s="1187" t="s">
        <v>1575</v>
      </c>
      <c r="B18" s="1188">
        <v>2016</v>
      </c>
      <c r="E18" s="2118" t="s">
        <v>1576</v>
      </c>
      <c r="I18" s="1189" t="s">
        <v>1577</v>
      </c>
      <c r="N18" s="1271" t="s">
        <v>1578</v>
      </c>
      <c r="X18" s="1200"/>
      <c r="AW18" s="1233" t="s">
        <v>110</v>
      </c>
      <c r="AX18" s="1233" t="s">
        <v>110</v>
      </c>
      <c r="BB18" s="1233" t="s">
        <v>1579</v>
      </c>
      <c r="BC18" s="1233" t="s">
        <v>1420</v>
      </c>
      <c r="BE18" s="1233">
        <v>2016</v>
      </c>
      <c r="BH18" s="1181" t="s">
        <v>1522</v>
      </c>
      <c r="BJ18" s="1330" t="s">
        <v>1580</v>
      </c>
      <c r="BL18" s="1330" t="s">
        <v>1580</v>
      </c>
      <c r="BN18" s="1181" t="s">
        <v>1581</v>
      </c>
      <c r="BQ18" s="1545" t="s">
        <v>1392</v>
      </c>
      <c r="BR18" s="1272" t="s">
        <v>1393</v>
      </c>
      <c r="BS18" s="387"/>
      <c r="BT18" s="1545" t="s">
        <v>1582</v>
      </c>
      <c r="BU18" s="1272" t="s">
        <v>1583</v>
      </c>
      <c r="BV18" s="1183"/>
      <c r="BW18" s="1810" t="s">
        <v>1584</v>
      </c>
      <c r="BX18" s="1804" t="s">
        <v>1585</v>
      </c>
      <c r="BZ18" s="1545" t="s">
        <v>1586</v>
      </c>
      <c r="CA18" s="1272" t="s">
        <v>1587</v>
      </c>
      <c r="CC18" s="1545" t="s">
        <v>1588</v>
      </c>
      <c r="CD18" s="1272" t="s">
        <v>1589</v>
      </c>
    </row>
    <row customHeight="1" ht="21">
      <c r="A19" s="1983" t="s">
        <v>1590</v>
      </c>
      <c r="B19" s="1188">
        <v>2017</v>
      </c>
      <c r="E19" s="1187" t="s">
        <v>196</v>
      </c>
      <c r="I19" s="1189" t="s">
        <v>1591</v>
      </c>
      <c r="N19" s="1271" t="s">
        <v>1592</v>
      </c>
      <c r="X19" s="1200"/>
      <c r="AW19" s="1233" t="s">
        <v>1577</v>
      </c>
      <c r="AX19" s="1233" t="s">
        <v>1577</v>
      </c>
      <c r="AZ19" s="1180" t="s">
        <v>1593</v>
      </c>
      <c r="BB19" s="1233" t="s">
        <v>1594</v>
      </c>
      <c r="BC19" s="1233" t="s">
        <v>1420</v>
      </c>
      <c r="BE19" s="1233">
        <v>2017</v>
      </c>
      <c r="BH19" s="1181" t="s">
        <v>1595</v>
      </c>
      <c r="BJ19" s="1330" t="s">
        <v>1596</v>
      </c>
      <c r="BL19" s="1330" t="s">
        <v>1596</v>
      </c>
      <c r="BQ19" s="1394">
        <v>4190064</v>
      </c>
      <c r="BR19" s="1181" t="s">
        <v>1597</v>
      </c>
      <c r="BS19" s="1542"/>
      <c r="BT19" s="1394">
        <v>4189671</v>
      </c>
      <c r="BU19" s="1181" t="s">
        <v>1598</v>
      </c>
      <c r="BV19" s="1183"/>
      <c r="BW19" s="1808">
        <v>4189706</v>
      </c>
      <c r="BX19" s="1806" t="s">
        <v>1599</v>
      </c>
      <c r="BZ19" s="1394">
        <v>4189714</v>
      </c>
      <c r="CA19" s="1181" t="s">
        <v>1600</v>
      </c>
      <c r="CC19" s="1394">
        <v>4189708</v>
      </c>
      <c r="CD19" s="1181" t="s">
        <v>1601</v>
      </c>
    </row>
    <row customHeight="1" ht="21">
      <c r="A20" s="1187" t="s">
        <v>1602</v>
      </c>
      <c r="B20" s="1188">
        <v>2018</v>
      </c>
      <c r="E20" s="1187" t="s">
        <v>1351</v>
      </c>
      <c r="I20" s="1189" t="s">
        <v>1603</v>
      </c>
      <c r="N20" s="1271" t="s">
        <v>1604</v>
      </c>
      <c r="AW20" s="1233" t="s">
        <v>1591</v>
      </c>
      <c r="AX20" s="1233" t="s">
        <v>1591</v>
      </c>
      <c r="AZ20" s="1233" t="s">
        <v>1605</v>
      </c>
      <c r="BB20" s="1233" t="s">
        <v>1606</v>
      </c>
      <c r="BC20" s="1233" t="s">
        <v>1537</v>
      </c>
      <c r="BE20" s="1233">
        <v>2018</v>
      </c>
      <c r="BH20" s="1181" t="s">
        <v>1533</v>
      </c>
      <c r="BJ20" s="1181" t="s">
        <v>1460</v>
      </c>
      <c r="BL20" s="1181" t="s">
        <v>1460</v>
      </c>
      <c r="BQ20" s="1394">
        <v>4190065</v>
      </c>
      <c r="BR20" s="1181" t="s">
        <v>1607</v>
      </c>
      <c r="BS20" s="1542"/>
      <c r="BT20" s="1394">
        <v>4189672</v>
      </c>
      <c r="BU20" s="1181" t="s">
        <v>1608</v>
      </c>
      <c r="BV20" s="1183"/>
      <c r="BW20" s="1808">
        <v>4189705</v>
      </c>
      <c r="BX20" s="1806" t="s">
        <v>1609</v>
      </c>
      <c r="BZ20" s="1394">
        <v>4189713</v>
      </c>
      <c r="CA20" s="1181" t="s">
        <v>1609</v>
      </c>
      <c r="CC20" s="1394">
        <v>4189709</v>
      </c>
      <c r="CD20" s="1181" t="s">
        <v>1610</v>
      </c>
    </row>
    <row customHeight="1" ht="21">
      <c r="A21" s="1187" t="s">
        <v>1611</v>
      </c>
      <c r="B21" s="1188">
        <v>2019</v>
      </c>
      <c r="I21" s="1189" t="s">
        <v>1612</v>
      </c>
      <c r="N21" s="1271" t="s">
        <v>1613</v>
      </c>
      <c r="AW21" s="1233" t="s">
        <v>1603</v>
      </c>
      <c r="AX21" s="1233" t="s">
        <v>1603</v>
      </c>
      <c r="AZ21" s="1233" t="s">
        <v>1614</v>
      </c>
      <c r="BB21" s="1233" t="s">
        <v>1615</v>
      </c>
      <c r="BC21" s="1233" t="s">
        <v>1420</v>
      </c>
      <c r="BE21" s="1233">
        <v>2019</v>
      </c>
      <c r="BH21" s="1181" t="s">
        <v>1540</v>
      </c>
      <c r="BJ21" s="1181" t="s">
        <v>1476</v>
      </c>
      <c r="BL21" s="1181" t="s">
        <v>1476</v>
      </c>
      <c r="BQ21" s="1394">
        <v>4190066</v>
      </c>
      <c r="BR21" s="1181" t="s">
        <v>1616</v>
      </c>
      <c r="BS21" s="1542"/>
      <c r="BT21" s="1394">
        <v>4189673</v>
      </c>
      <c r="BU21" s="1181" t="s">
        <v>1617</v>
      </c>
      <c r="BV21" s="1183"/>
      <c r="BW21" s="1808">
        <v>4189707</v>
      </c>
      <c r="BX21" s="1806" t="s">
        <v>1618</v>
      </c>
      <c r="BZ21" s="1394">
        <v>4189712</v>
      </c>
      <c r="CA21" s="1181" t="s">
        <v>1619</v>
      </c>
      <c r="CC21" s="1394">
        <v>4189710</v>
      </c>
      <c r="CD21" s="1181" t="s">
        <v>1620</v>
      </c>
    </row>
    <row customHeight="1" ht="21">
      <c r="A22" s="1187" t="s">
        <v>1621</v>
      </c>
      <c r="B22" s="1188">
        <v>2020</v>
      </c>
      <c r="N22" s="1271" t="s">
        <v>1622</v>
      </c>
      <c r="AW22" s="1233" t="s">
        <v>1612</v>
      </c>
      <c r="AX22" s="1233" t="s">
        <v>1612</v>
      </c>
      <c r="AZ22" s="1233" t="s">
        <v>1623</v>
      </c>
      <c r="BB22" s="1233" t="s">
        <v>1624</v>
      </c>
      <c r="BC22" s="1233" t="s">
        <v>1420</v>
      </c>
      <c r="BE22" s="1233">
        <v>2020</v>
      </c>
      <c r="BH22" s="1181" t="s">
        <v>1547</v>
      </c>
      <c r="BJ22" s="1181" t="s">
        <v>1492</v>
      </c>
      <c r="BL22" s="1181" t="s">
        <v>1492</v>
      </c>
      <c r="BQ22" s="1394">
        <v>4190067</v>
      </c>
      <c r="BR22" s="1181" t="s">
        <v>1625</v>
      </c>
      <c r="BS22" s="1542"/>
      <c r="BT22" s="1394">
        <v>4189674</v>
      </c>
      <c r="BU22" s="1181" t="s">
        <v>1626</v>
      </c>
      <c r="BV22" s="1183"/>
      <c r="BW22" s="1183"/>
      <c r="CC22" s="1394">
        <v>4189711</v>
      </c>
      <c r="CD22" s="1181" t="s">
        <v>386</v>
      </c>
    </row>
    <row customHeight="1" ht="21">
      <c r="A23" s="1187" t="s">
        <v>1627</v>
      </c>
      <c r="B23" s="1188">
        <v>2021</v>
      </c>
      <c r="AW23" s="1233" t="s">
        <v>1628</v>
      </c>
      <c r="AX23" s="1233" t="s">
        <v>1628</v>
      </c>
      <c r="AZ23" s="1233" t="s">
        <v>1629</v>
      </c>
      <c r="BB23" s="1233" t="s">
        <v>1630</v>
      </c>
      <c r="BC23" s="1233" t="s">
        <v>1330</v>
      </c>
      <c r="BE23" s="1233">
        <v>2021</v>
      </c>
      <c r="BH23" s="1181" t="s">
        <v>1555</v>
      </c>
      <c r="BJ23" s="1181" t="s">
        <v>1508</v>
      </c>
      <c r="BL23" s="1181" t="s">
        <v>1508</v>
      </c>
      <c r="BQ23" s="1394">
        <v>4190068</v>
      </c>
      <c r="BR23" s="1181" t="s">
        <v>1631</v>
      </c>
      <c r="BS23" s="1542"/>
      <c r="BT23" s="1394">
        <v>4189675</v>
      </c>
      <c r="BU23" s="1181" t="s">
        <v>1632</v>
      </c>
      <c r="BV23" s="1183"/>
      <c r="BW23" s="1183"/>
      <c r="CC23" s="1394">
        <v>5110778</v>
      </c>
      <c r="CD23" s="1181" t="s">
        <v>1633</v>
      </c>
    </row>
    <row customHeight="1" ht="21">
      <c r="A24" s="1187" t="s">
        <v>1634</v>
      </c>
      <c r="B24" s="1188">
        <v>2022</v>
      </c>
      <c r="AW24" s="1233" t="s">
        <v>1635</v>
      </c>
      <c r="AX24" s="1233" t="s">
        <v>1635</v>
      </c>
      <c r="AZ24" s="1233" t="s">
        <v>1636</v>
      </c>
      <c r="BB24" s="1233" t="s">
        <v>1637</v>
      </c>
      <c r="BC24" s="1233" t="s">
        <v>1638</v>
      </c>
      <c r="BE24" s="1233">
        <v>2022</v>
      </c>
      <c r="BH24" s="1181" t="s">
        <v>1564</v>
      </c>
      <c r="BJ24" s="1181" t="s">
        <v>1522</v>
      </c>
      <c r="BL24" s="1181" t="s">
        <v>1522</v>
      </c>
      <c r="BQ24" s="1394">
        <v>4190069</v>
      </c>
      <c r="BR24" s="1181" t="s">
        <v>1639</v>
      </c>
      <c r="BS24" s="1542"/>
      <c r="BT24" s="1394">
        <v>4189676</v>
      </c>
      <c r="BU24" s="1181" t="s">
        <v>1640</v>
      </c>
      <c r="BV24" s="1183"/>
      <c r="BW24" s="1183"/>
      <c r="CC24" s="1394">
        <v>25575374</v>
      </c>
      <c r="CD24" s="1181" t="s">
        <v>1641</v>
      </c>
    </row>
    <row customHeight="1" ht="11.25">
      <c r="A25" s="1187" t="s">
        <v>1642</v>
      </c>
      <c r="B25" s="1188">
        <v>2023</v>
      </c>
      <c r="AW25" s="1233" t="s">
        <v>1643</v>
      </c>
      <c r="AX25" s="1233" t="s">
        <v>1643</v>
      </c>
      <c r="AZ25" s="1233" t="s">
        <v>1644</v>
      </c>
      <c r="BB25" s="1233" t="s">
        <v>1645</v>
      </c>
      <c r="BC25" s="1233" t="s">
        <v>1638</v>
      </c>
      <c r="BE25" s="1233">
        <v>2023</v>
      </c>
      <c r="BH25" s="1181" t="s">
        <v>1570</v>
      </c>
      <c r="BJ25" s="1181" t="s">
        <v>1595</v>
      </c>
      <c r="BL25" s="1181" t="s">
        <v>1595</v>
      </c>
      <c r="BQ25" s="1394">
        <v>4190070</v>
      </c>
      <c r="BR25" s="1181" t="s">
        <v>1646</v>
      </c>
      <c r="BS25" s="1542"/>
      <c r="BT25" s="1394">
        <v>4189677</v>
      </c>
      <c r="BU25" s="1181" t="s">
        <v>1647</v>
      </c>
      <c r="BV25" s="1183"/>
      <c r="BW25" s="1183"/>
    </row>
    <row customHeight="1" ht="11.25">
      <c r="A26" s="1187" t="s">
        <v>1648</v>
      </c>
      <c r="B26" s="1188">
        <v>2024</v>
      </c>
      <c r="J26" s="1844" t="s">
        <v>1649</v>
      </c>
      <c r="AX26" s="1233" t="s">
        <v>1650</v>
      </c>
      <c r="AZ26" s="1233" t="s">
        <v>1515</v>
      </c>
      <c r="BB26" s="1233" t="s">
        <v>1651</v>
      </c>
      <c r="BC26" s="1233" t="s">
        <v>1638</v>
      </c>
      <c r="BE26" s="1233">
        <v>2024</v>
      </c>
      <c r="BH26" s="1181" t="s">
        <v>1581</v>
      </c>
      <c r="BJ26" s="1181" t="s">
        <v>1533</v>
      </c>
      <c r="BL26" s="1181" t="s">
        <v>1533</v>
      </c>
      <c r="BQ26" s="1394">
        <v>4190071</v>
      </c>
      <c r="BR26" s="1181" t="s">
        <v>1652</v>
      </c>
      <c r="BS26" s="1542"/>
      <c r="BV26" s="1183"/>
      <c r="BW26" s="1183"/>
    </row>
    <row customHeight="1" ht="11.25">
      <c r="A27" s="1187" t="s">
        <v>1653</v>
      </c>
      <c r="B27" s="1188">
        <v>2025</v>
      </c>
      <c r="J27" s="289" t="s">
        <v>104</v>
      </c>
      <c r="AX27" s="1233" t="s">
        <v>1654</v>
      </c>
      <c r="BB27" s="1233" t="s">
        <v>1655</v>
      </c>
      <c r="BC27" s="1233" t="s">
        <v>1638</v>
      </c>
      <c r="BE27" s="1233">
        <v>2025</v>
      </c>
      <c r="BH27" s="1183" t="s">
        <v>28</v>
      </c>
      <c r="BJ27" s="1181" t="s">
        <v>1540</v>
      </c>
      <c r="BL27" s="1181" t="s">
        <v>1540</v>
      </c>
      <c r="BN27" s="1183" t="s">
        <v>28</v>
      </c>
      <c r="BQ27" s="1394">
        <v>4190072</v>
      </c>
      <c r="BR27" s="1181" t="s">
        <v>1656</v>
      </c>
      <c r="BS27" s="1542"/>
      <c r="BV27" s="1183"/>
      <c r="BW27" s="1183"/>
    </row>
    <row customHeight="1" ht="11.25">
      <c r="A28" s="1187" t="s">
        <v>1657</v>
      </c>
      <c r="D28" s="1214"/>
      <c r="E28" s="1215"/>
      <c r="F28" s="1215"/>
      <c r="H28" s="1216" t="s">
        <v>1658</v>
      </c>
      <c r="AX28" s="1233" t="s">
        <v>1659</v>
      </c>
      <c r="AZ28" s="1180" t="s">
        <v>1660</v>
      </c>
      <c r="BB28" s="1233" t="s">
        <v>1661</v>
      </c>
      <c r="BC28" s="1233" t="s">
        <v>1662</v>
      </c>
      <c r="BE28" s="1233">
        <v>2026</v>
      </c>
      <c r="BH28" s="1183" t="s">
        <v>28</v>
      </c>
      <c r="BJ28" s="1181" t="s">
        <v>1547</v>
      </c>
      <c r="BL28" s="1181" t="s">
        <v>1547</v>
      </c>
      <c r="BN28" s="1183" t="s">
        <v>28</v>
      </c>
      <c r="BQ28" s="1394">
        <v>4190073</v>
      </c>
      <c r="BR28" s="1181" t="s">
        <v>1663</v>
      </c>
      <c r="BS28" s="1542"/>
      <c r="BV28" s="1183"/>
      <c r="BW28" s="1183"/>
    </row>
    <row customHeight="1" ht="11.25">
      <c r="A29" s="1187" t="s">
        <v>1664</v>
      </c>
      <c r="D29" s="1217" t="s">
        <v>1665</v>
      </c>
      <c r="E29" s="1218" t="str">
        <f>IF(TEMPLATE_GROUP="","",INDEX(StartDateList,MATCH(TEMPLATE_GROUP,CodeTemplateList,0),1))</f>
        <v>01.01.2025</v>
      </c>
      <c r="F29" s="1218" t="str">
        <f>IF(TEMPLATE_GROUP="","",INDEX(EndDateList,MATCH(TEMPLATE_GROUP,CodeTemplateList,0),1))</f>
        <v>31.12.2028</v>
      </c>
      <c r="H29" s="1219" t="s">
        <v>1666</v>
      </c>
      <c r="AX29" s="1233" t="s">
        <v>1667</v>
      </c>
      <c r="AZ29" s="1233" t="s">
        <v>1314</v>
      </c>
      <c r="BB29" s="1233" t="s">
        <v>1515</v>
      </c>
      <c r="BC29" s="1204"/>
      <c r="BE29" s="1233">
        <v>2027</v>
      </c>
      <c r="BJ29" s="1181" t="s">
        <v>1555</v>
      </c>
      <c r="BL29" s="1181" t="s">
        <v>1555</v>
      </c>
    </row>
    <row customHeight="1" ht="11.25">
      <c r="A30" s="1187" t="s">
        <v>1668</v>
      </c>
      <c r="D30" s="1220"/>
      <c r="E30" s="1221"/>
      <c r="F30" s="1221"/>
      <c r="AX30" s="1233" t="s">
        <v>1669</v>
      </c>
      <c r="AZ30" s="1233" t="s">
        <v>1340</v>
      </c>
      <c r="BE30" s="1233">
        <v>2028</v>
      </c>
      <c r="BJ30" s="1181" t="s">
        <v>1670</v>
      </c>
      <c r="BL30" s="1181" t="s">
        <v>1670</v>
      </c>
    </row>
    <row customHeight="1" ht="12.75">
      <c r="A31" s="1187" t="s">
        <v>1671</v>
      </c>
      <c r="D31" s="1214"/>
      <c r="E31" s="1215"/>
      <c r="F31" s="1215"/>
      <c r="H31" s="1222"/>
      <c r="AX31" s="1233" t="s">
        <v>1672</v>
      </c>
      <c r="AZ31" s="1233" t="s">
        <v>1673</v>
      </c>
      <c r="BE31" s="1233">
        <v>2029</v>
      </c>
      <c r="BJ31" s="1181" t="s">
        <v>1674</v>
      </c>
      <c r="BL31" s="1181" t="s">
        <v>1674</v>
      </c>
    </row>
    <row customHeight="1" ht="11.25">
      <c r="A32" s="1187" t="s">
        <v>1675</v>
      </c>
      <c r="D32" s="1217" t="s">
        <v>1676</v>
      </c>
      <c r="E32" s="1218" t="str">
        <f>IF(TEMPLATE_GROUP="","",INDEX(StartDateList,MATCH(TEMPLATE_GROUP,CodeTemplateList,0),1))</f>
        <v>01.01.2025</v>
      </c>
      <c r="F32" s="1218" t="str">
        <f>IF(TEMPLATE_GROUP="","",INDEX(EndDateList,MATCH(TEMPLATE_GROUP,CodeTemplateList,0),1))</f>
        <v>31.12.2028</v>
      </c>
      <c r="H32" s="1223" t="s">
        <v>1677</v>
      </c>
      <c r="O32" s="1187" t="s">
        <v>1312</v>
      </c>
      <c r="AX32" s="1233" t="s">
        <v>1678</v>
      </c>
      <c r="AZ32" s="1233" t="s">
        <v>1408</v>
      </c>
      <c r="BE32" s="1233">
        <v>2030</v>
      </c>
      <c r="BJ32" s="1181" t="s">
        <v>1564</v>
      </c>
      <c r="BL32" s="1181" t="s">
        <v>1564</v>
      </c>
    </row>
    <row customHeight="1" ht="11.25">
      <c r="A33" s="1187" t="s">
        <v>1679</v>
      </c>
      <c r="O33" s="1187" t="s">
        <v>1338</v>
      </c>
      <c r="AX33" s="1233" t="s">
        <v>1680</v>
      </c>
      <c r="AZ33" s="1233" t="s">
        <v>611</v>
      </c>
      <c r="BE33" s="1233">
        <v>2031</v>
      </c>
      <c r="BJ33" s="1181" t="s">
        <v>1570</v>
      </c>
      <c r="BL33" s="1181" t="s">
        <v>1570</v>
      </c>
    </row>
    <row customHeight="1" ht="11.25">
      <c r="A34" s="1187" t="s">
        <v>1681</v>
      </c>
      <c r="O34" s="1187" t="s">
        <v>1373</v>
      </c>
      <c r="AX34" s="1233" t="s">
        <v>1682</v>
      </c>
      <c r="BE34" s="1233">
        <v>2032</v>
      </c>
      <c r="BJ34" s="1181" t="s">
        <v>1581</v>
      </c>
      <c r="BL34" s="1181" t="s">
        <v>1581</v>
      </c>
    </row>
    <row customHeight="1" ht="11.25">
      <c r="A35" s="1187" t="s">
        <v>1683</v>
      </c>
      <c r="O35" s="1187" t="s">
        <v>1406</v>
      </c>
      <c r="AX35" s="1233" t="s">
        <v>1684</v>
      </c>
      <c r="AZ35" s="1180" t="s">
        <v>1685</v>
      </c>
      <c r="BE35" s="1233">
        <v>2033</v>
      </c>
      <c r="BL35" s="1181" t="s">
        <v>1686</v>
      </c>
    </row>
    <row customHeight="1" ht="11.25">
      <c r="A36" s="1983" t="s">
        <v>1687</v>
      </c>
      <c r="D36" s="1224" t="s">
        <v>1688</v>
      </c>
      <c r="E36" s="1225" t="s">
        <v>997</v>
      </c>
      <c r="F36" s="1226" t="str">
        <f>INDEX(E37:E41,MATCH(TEMPLATE_SPHERE,F37:F41,0))</f>
        <v>водоотведения</v>
      </c>
      <c r="G36" s="1226" t="str">
        <f>INDEX(G37:G41,MATCH(TEMPLATE_SPHERE,F37:F41,0))</f>
        <v>водоотведение</v>
      </c>
      <c r="O36" s="1187" t="s">
        <v>1431</v>
      </c>
      <c r="AX36" s="1233" t="s">
        <v>1689</v>
      </c>
      <c r="AZ36" s="1233" t="s">
        <v>611</v>
      </c>
      <c r="BE36" s="1233">
        <v>2034</v>
      </c>
      <c r="BL36" s="1181" t="s">
        <v>1690</v>
      </c>
    </row>
    <row customHeight="1" ht="11.25">
      <c r="A37" s="1187" t="s">
        <v>1691</v>
      </c>
      <c r="E37" s="520" t="s">
        <v>1692</v>
      </c>
      <c r="F37" s="1227" t="s">
        <v>898</v>
      </c>
      <c r="G37" s="520" t="s">
        <v>1693</v>
      </c>
      <c r="O37" s="1187" t="s">
        <v>1450</v>
      </c>
      <c r="AX37" s="1233" t="s">
        <v>1694</v>
      </c>
      <c r="AZ37" s="1233" t="s">
        <v>1339</v>
      </c>
      <c r="BE37" s="1233">
        <v>2035</v>
      </c>
    </row>
    <row customHeight="1" ht="11.25">
      <c r="A38" s="1187" t="s">
        <v>1695</v>
      </c>
      <c r="E38" s="520" t="s">
        <v>1696</v>
      </c>
      <c r="F38" s="1228" t="s">
        <v>944</v>
      </c>
      <c r="G38" s="520" t="s">
        <v>1697</v>
      </c>
      <c r="O38" s="1187" t="s">
        <v>1467</v>
      </c>
      <c r="AX38" s="1233" t="s">
        <v>1698</v>
      </c>
      <c r="AZ38" s="1233" t="s">
        <v>1374</v>
      </c>
      <c r="BE38" s="1233">
        <v>2036</v>
      </c>
      <c r="BH38" s="1180" t="s">
        <v>1699</v>
      </c>
      <c r="BJ38" s="1180" t="s">
        <v>1700</v>
      </c>
      <c r="BL38" s="1180" t="s">
        <v>1701</v>
      </c>
      <c r="BN38" s="1180" t="s">
        <v>1702</v>
      </c>
    </row>
    <row customHeight="1" ht="11.25">
      <c r="A39" s="1187" t="s">
        <v>1703</v>
      </c>
      <c r="E39" s="520" t="s">
        <v>1704</v>
      </c>
      <c r="F39" s="1228" t="s">
        <v>997</v>
      </c>
      <c r="G39" s="520" t="s">
        <v>1705</v>
      </c>
      <c r="O39" s="1187" t="s">
        <v>1483</v>
      </c>
      <c r="AX39" s="1233" t="s">
        <v>1706</v>
      </c>
      <c r="AZ39" s="1233" t="s">
        <v>1407</v>
      </c>
      <c r="BE39" s="1233">
        <v>2037</v>
      </c>
      <c r="BH39" s="1181" t="s">
        <v>1707</v>
      </c>
      <c r="BJ39" s="1330" t="s">
        <v>1707</v>
      </c>
      <c r="BL39" s="1330" t="s">
        <v>1707</v>
      </c>
      <c r="BN39" s="1181" t="s">
        <v>1708</v>
      </c>
    </row>
    <row customHeight="1" ht="11.25">
      <c r="A40" s="1187" t="s">
        <v>1709</v>
      </c>
      <c r="E40" s="520" t="s">
        <v>1710</v>
      </c>
      <c r="F40" s="1228" t="s">
        <v>984</v>
      </c>
      <c r="G40" s="520" t="s">
        <v>1711</v>
      </c>
      <c r="O40" s="1187" t="s">
        <v>1499</v>
      </c>
      <c r="AX40" s="1233" t="s">
        <v>1712</v>
      </c>
      <c r="BE40" s="1233">
        <v>2038</v>
      </c>
      <c r="BH40" s="1181" t="s">
        <v>1713</v>
      </c>
      <c r="BJ40" s="1330" t="s">
        <v>1117</v>
      </c>
      <c r="BL40" s="1330" t="s">
        <v>1117</v>
      </c>
      <c r="BN40" s="1181" t="s">
        <v>1151</v>
      </c>
    </row>
    <row customHeight="1" ht="11.25">
      <c r="A41" s="1187" t="s">
        <v>1714</v>
      </c>
      <c r="E41" s="520" t="s">
        <v>1715</v>
      </c>
      <c r="F41" s="1228" t="s">
        <v>1716</v>
      </c>
      <c r="G41" s="520" t="s">
        <v>1715</v>
      </c>
      <c r="O41" s="1187" t="s">
        <v>1515</v>
      </c>
      <c r="AX41" s="1233" t="s">
        <v>1717</v>
      </c>
      <c r="AZ41" s="1180" t="s">
        <v>1718</v>
      </c>
      <c r="BE41" s="1233">
        <v>2039</v>
      </c>
      <c r="BH41" s="1181" t="s">
        <v>1719</v>
      </c>
      <c r="BJ41" s="1330" t="s">
        <v>1113</v>
      </c>
      <c r="BL41" s="1330" t="s">
        <v>1113</v>
      </c>
      <c r="BN41" s="1181" t="s">
        <v>1138</v>
      </c>
    </row>
    <row customHeight="1" ht="11.25">
      <c r="A42" s="1187" t="s">
        <v>1720</v>
      </c>
      <c r="AX42" s="1233" t="s">
        <v>1721</v>
      </c>
      <c r="AZ42" s="1233" t="s">
        <v>1312</v>
      </c>
      <c r="BE42" s="1233">
        <v>2040</v>
      </c>
      <c r="BH42" s="1181" t="s">
        <v>1135</v>
      </c>
      <c r="BJ42" s="1330" t="s">
        <v>1115</v>
      </c>
      <c r="BL42" s="1330" t="s">
        <v>1115</v>
      </c>
      <c r="BN42" s="1181" t="s">
        <v>1722</v>
      </c>
    </row>
    <row customHeight="1" ht="11.25">
      <c r="A43" s="1187" t="s">
        <v>1723</v>
      </c>
      <c r="AX43" s="1233" t="s">
        <v>1724</v>
      </c>
      <c r="AZ43" s="1233" t="s">
        <v>1338</v>
      </c>
      <c r="BE43" s="1233">
        <v>2041</v>
      </c>
      <c r="BH43" s="1181" t="s">
        <v>1725</v>
      </c>
      <c r="BJ43" s="1330" t="s">
        <v>1719</v>
      </c>
      <c r="BL43" s="1330" t="s">
        <v>1719</v>
      </c>
      <c r="BN43" s="1181" t="s">
        <v>1726</v>
      </c>
    </row>
    <row customHeight="1" ht="11.25">
      <c r="A44" s="1187" t="s">
        <v>1727</v>
      </c>
      <c r="G44" s="1207">
        <f>YEAR(TODAY())</f>
        <v>2024</v>
      </c>
      <c r="I44" s="912" t="s">
        <v>1728</v>
      </c>
      <c r="J44" s="1202" t="s">
        <v>1729</v>
      </c>
      <c r="K44" s="1202" t="s">
        <v>1730</v>
      </c>
      <c r="AX44" s="1233" t="s">
        <v>1731</v>
      </c>
      <c r="AZ44" s="1233" t="s">
        <v>1373</v>
      </c>
      <c r="BE44" s="1233">
        <v>2042</v>
      </c>
      <c r="BH44" s="1181" t="s">
        <v>1732</v>
      </c>
      <c r="BJ44" s="1330" t="s">
        <v>1135</v>
      </c>
      <c r="BL44" s="1330" t="s">
        <v>1135</v>
      </c>
      <c r="BN44" s="1181" t="s">
        <v>1733</v>
      </c>
    </row>
    <row customHeight="1" ht="11.25">
      <c r="A45" s="1187" t="s">
        <v>1734</v>
      </c>
      <c r="D45" s="1224" t="s">
        <v>1735</v>
      </c>
      <c r="E45" s="1225" t="s">
        <v>1736</v>
      </c>
      <c r="F45" s="910" t="s">
        <v>1737</v>
      </c>
      <c r="G45" s="909" t="s">
        <v>1738</v>
      </c>
      <c r="H45" s="912" t="s">
        <v>1739</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1740</v>
      </c>
      <c r="AZ45" s="1233" t="s">
        <v>1406</v>
      </c>
      <c r="BE45" s="1233">
        <v>2043</v>
      </c>
      <c r="BH45" s="1181" t="s">
        <v>1741</v>
      </c>
      <c r="BJ45" s="1330" t="s">
        <v>1129</v>
      </c>
      <c r="BL45" s="1330" t="s">
        <v>1129</v>
      </c>
      <c r="BN45" s="1181" t="s">
        <v>1742</v>
      </c>
    </row>
    <row customHeight="1" ht="11.25">
      <c r="A46" s="1187" t="s">
        <v>1743</v>
      </c>
      <c r="E46" s="520" t="s">
        <v>26</v>
      </c>
      <c r="F46" s="1227" t="s">
        <v>1744</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(водоотведения)</v>
      </c>
      <c r="K46" s="1859"/>
      <c r="AX46" s="1233" t="s">
        <v>118</v>
      </c>
      <c r="AZ46" s="1233" t="s">
        <v>1431</v>
      </c>
      <c r="BE46" s="1233">
        <v>2044</v>
      </c>
      <c r="BH46" s="1181" t="s">
        <v>1138</v>
      </c>
      <c r="BJ46" s="1330" t="s">
        <v>1119</v>
      </c>
      <c r="BL46" s="1330" t="s">
        <v>1119</v>
      </c>
      <c r="BN46" s="1181" t="s">
        <v>1745</v>
      </c>
    </row>
    <row customHeight="1" ht="11.25">
      <c r="A47" s="1187" t="s">
        <v>1746</v>
      </c>
      <c r="E47" s="520" t="s">
        <v>33</v>
      </c>
      <c r="F47" s="1228" t="s">
        <v>1747</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59"/>
      <c r="AX47" s="1233" t="s">
        <v>1748</v>
      </c>
      <c r="AZ47" s="1233" t="s">
        <v>1450</v>
      </c>
      <c r="BE47" s="1233">
        <v>2045</v>
      </c>
      <c r="BH47" s="1181" t="s">
        <v>1722</v>
      </c>
      <c r="BJ47" s="1330" t="s">
        <v>1121</v>
      </c>
      <c r="BL47" s="1330" t="s">
        <v>1121</v>
      </c>
      <c r="BN47" s="1181" t="s">
        <v>1749</v>
      </c>
    </row>
    <row customHeight="1" ht="11.25">
      <c r="A48" s="1187" t="s">
        <v>1750</v>
      </c>
      <c r="E48" s="520" t="s">
        <v>1751</v>
      </c>
      <c r="F48" s="1228" t="s">
        <v>1752</v>
      </c>
      <c r="G48" s="1229" t="str">
        <f>_xlfn.IFERROR(IF(f_year="","01.01."&amp;CURRENT_YEAR,"01.01."&amp;f_year),"01.01."&amp;CURRENT_YEAR)</f>
        <v>01.01.2024</v>
      </c>
      <c r="H48" s="1229" t="str">
        <f>_xlfn.IFERROR(IF(f_year="","31.12."&amp;CURRENT_YEAR,"31.12."&amp;f_year),"31.12."&amp;CURRENT_YEAR)</f>
        <v>31.12.2024</v>
      </c>
      <c r="I48" s="1855">
        <f>IF(f_year="",TRUE,FALSE)</f>
        <v>1</v>
      </c>
      <c r="J48" s="1858" t="s">
        <v>1753</v>
      </c>
      <c r="K48" s="1859"/>
      <c r="AX48" s="1233" t="s">
        <v>1754</v>
      </c>
      <c r="AZ48" s="1233" t="s">
        <v>1467</v>
      </c>
      <c r="BE48" s="1233">
        <v>2046</v>
      </c>
      <c r="BH48" s="1181" t="s">
        <v>1726</v>
      </c>
      <c r="BJ48" s="1330" t="s">
        <v>1123</v>
      </c>
      <c r="BL48" s="1330" t="s">
        <v>1123</v>
      </c>
      <c r="BN48" s="1181" t="s">
        <v>1755</v>
      </c>
    </row>
    <row customHeight="1" ht="11.25">
      <c r="A49" s="1187" t="s">
        <v>16</v>
      </c>
      <c r="E49" s="520" t="s">
        <v>1756</v>
      </c>
      <c r="F49" s="1228" t="s">
        <v>1757</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59"/>
      <c r="AX49" s="1233" t="s">
        <v>1758</v>
      </c>
      <c r="AZ49" s="1233" t="s">
        <v>1483</v>
      </c>
      <c r="BE49" s="1233">
        <v>2047</v>
      </c>
      <c r="BH49" s="1181" t="s">
        <v>1139</v>
      </c>
      <c r="BJ49" s="1330" t="s">
        <v>1125</v>
      </c>
      <c r="BL49" s="1330" t="s">
        <v>1125</v>
      </c>
    </row>
    <row customHeight="1" ht="11.25">
      <c r="A50" s="1187" t="s">
        <v>1759</v>
      </c>
      <c r="E50" s="520" t="s">
        <v>1760</v>
      </c>
      <c r="F50" s="1228" t="s">
        <v>1109</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59"/>
      <c r="AX50" s="1233" t="s">
        <v>1761</v>
      </c>
      <c r="AZ50" s="1233" t="s">
        <v>1499</v>
      </c>
      <c r="BE50" s="1233">
        <v>2048</v>
      </c>
      <c r="BH50" s="1181" t="s">
        <v>1733</v>
      </c>
      <c r="BJ50" s="1330" t="s">
        <v>1127</v>
      </c>
      <c r="BL50" s="1330" t="s">
        <v>1127</v>
      </c>
    </row>
    <row customHeight="1" ht="11.25">
      <c r="A51" s="1187" t="s">
        <v>1762</v>
      </c>
      <c r="E51" s="520" t="s">
        <v>1763</v>
      </c>
      <c r="F51" s="1228" t="s">
        <v>1736</v>
      </c>
      <c r="G51" s="1229" t="str">
        <f>_xlfn.IFERROR(IF(TITLE_PERIOD_START="","01.01."&amp;CURRENT_YEAR,"01.01."&amp;YEAR(TITLE_PERIOD_START)),"01.01."&amp;CURRENT_YEAR)</f>
        <v>01.01.2025</v>
      </c>
      <c r="H51" s="1229" t="str">
        <f>_xlfn.IFERROR(IF(TITLE_PERIOD_END="","31.12."&amp;CURRENT_YEAR,"31.12."&amp;YEAR(TITLE_PERIOD_END)),"31.12."&amp;CURRENT_YEAR)</f>
        <v>31.12.2028</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1764</v>
      </c>
      <c r="AZ51" s="1233" t="s">
        <v>1515</v>
      </c>
      <c r="BE51" s="1233">
        <v>2049</v>
      </c>
      <c r="BH51" s="1181" t="s">
        <v>1742</v>
      </c>
      <c r="BJ51" s="1330" t="s">
        <v>1765</v>
      </c>
      <c r="BL51" s="1330" t="s">
        <v>1765</v>
      </c>
    </row>
    <row customHeight="1" ht="11.25">
      <c r="A52" s="1187" t="s">
        <v>1766</v>
      </c>
      <c r="E52" s="520" t="s">
        <v>1767</v>
      </c>
      <c r="F52" s="1228" t="s">
        <v>1768</v>
      </c>
      <c r="G52" s="1229" t="str">
        <f>_xlfn.IFERROR(IF(TITLE_PERIOD_START="","01.01."&amp;CURRENT_YEAR,"01.01."&amp;YEAR(TITLE_PERIOD_START)),"01.01."&amp;CURRENT_YEAR)</f>
        <v>01.01.2025</v>
      </c>
      <c r="H52" s="1229" t="str">
        <f>_xlfn.IFERROR(IF(TITLE_PERIOD_END="","31.12."&amp;CURRENT_YEAR,"31.12."&amp;YEAR(TITLE_PERIOD_END)),"31.12."&amp;CURRENT_YEAR)</f>
        <v>31.12.2028</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водоотведения (цены и тарифы)</v>
      </c>
      <c r="K52" s="1859"/>
      <c r="AX52" s="1233" t="s">
        <v>1769</v>
      </c>
      <c r="AZ52" s="1233" t="s">
        <v>611</v>
      </c>
      <c r="BE52" s="1233">
        <v>2050</v>
      </c>
      <c r="BH52" s="1181" t="s">
        <v>1745</v>
      </c>
      <c r="BJ52" s="1330" t="s">
        <v>1138</v>
      </c>
      <c r="BL52" s="1330" t="s">
        <v>1138</v>
      </c>
    </row>
    <row customHeight="1" ht="11.25">
      <c r="A53" s="1187" t="s">
        <v>1770</v>
      </c>
      <c r="E53" s="520" t="s">
        <v>1771</v>
      </c>
      <c r="F53" s="1228" t="s">
        <v>1771</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1772</v>
      </c>
      <c r="K53" s="1859"/>
      <c r="AX53" s="1233" t="s">
        <v>1773</v>
      </c>
      <c r="BE53" s="1233">
        <v>2051</v>
      </c>
      <c r="BH53" s="1181" t="s">
        <v>1749</v>
      </c>
      <c r="BJ53" s="1330" t="s">
        <v>1722</v>
      </c>
      <c r="BL53" s="1330" t="s">
        <v>1722</v>
      </c>
    </row>
    <row customHeight="1" ht="11.25">
      <c r="A54" s="1187" t="s">
        <v>1774</v>
      </c>
      <c r="AX54" s="1233" t="s">
        <v>1775</v>
      </c>
      <c r="AZ54" s="1180" t="s">
        <v>1776</v>
      </c>
      <c r="BE54" s="1233">
        <v>2052</v>
      </c>
      <c r="BH54" s="1181" t="s">
        <v>1755</v>
      </c>
      <c r="BJ54" s="1330" t="s">
        <v>1726</v>
      </c>
      <c r="BL54" s="1330" t="s">
        <v>1726</v>
      </c>
    </row>
    <row customHeight="1" ht="11.25">
      <c r="A55" s="1187" t="s">
        <v>1777</v>
      </c>
      <c r="AX55" s="1233" t="s">
        <v>1778</v>
      </c>
      <c r="AZ55" s="1233" t="s">
        <v>1315</v>
      </c>
      <c r="BE55" s="1233">
        <v>2053</v>
      </c>
      <c r="BH55" s="1183" t="s">
        <v>28</v>
      </c>
      <c r="BJ55" s="1330" t="s">
        <v>1139</v>
      </c>
      <c r="BL55" s="1330" t="s">
        <v>1139</v>
      </c>
    </row>
    <row customHeight="1" ht="11.25">
      <c r="A56" s="1187" t="s">
        <v>1779</v>
      </c>
      <c r="D56" s="1231" t="s">
        <v>1780</v>
      </c>
      <c r="E56" s="1208" t="s">
        <v>1781</v>
      </c>
      <c r="F56" s="1187" t="s">
        <v>1782</v>
      </c>
      <c r="AX56" s="1233" t="s">
        <v>1783</v>
      </c>
      <c r="AZ56" s="1233" t="s">
        <v>1341</v>
      </c>
      <c r="BE56" s="1233">
        <v>2054</v>
      </c>
      <c r="BH56" s="1183" t="s">
        <v>28</v>
      </c>
      <c r="BJ56" s="1330" t="s">
        <v>1733</v>
      </c>
      <c r="BL56" s="1330" t="s">
        <v>1733</v>
      </c>
    </row>
    <row customHeight="1" ht="11.25">
      <c r="A57" s="1187" t="s">
        <v>1784</v>
      </c>
      <c r="D57" s="1231" t="s">
        <v>1785</v>
      </c>
      <c r="E57" s="1208" t="s">
        <v>116</v>
      </c>
      <c r="F57" s="1187" t="s">
        <v>1782</v>
      </c>
      <c r="AX57" s="1233" t="s">
        <v>1786</v>
      </c>
      <c r="AZ57" s="1233" t="s">
        <v>1376</v>
      </c>
      <c r="BE57" s="1233">
        <v>2055</v>
      </c>
      <c r="BJ57" s="1330" t="s">
        <v>1742</v>
      </c>
      <c r="BL57" s="1330" t="s">
        <v>1742</v>
      </c>
    </row>
    <row customHeight="1" ht="11.25">
      <c r="A58" s="1187" t="s">
        <v>1787</v>
      </c>
      <c r="D58" s="1231" t="s">
        <v>1788</v>
      </c>
      <c r="E58" s="1208" t="s">
        <v>116</v>
      </c>
      <c r="F58" s="1187" t="s">
        <v>1782</v>
      </c>
      <c r="AX58" s="1233" t="s">
        <v>1789</v>
      </c>
      <c r="BE58" s="1233">
        <v>2056</v>
      </c>
      <c r="BJ58" s="1330" t="s">
        <v>1745</v>
      </c>
      <c r="BL58" s="1330" t="s">
        <v>1745</v>
      </c>
    </row>
    <row customHeight="1" ht="11.25">
      <c r="A59" s="1187" t="s">
        <v>1790</v>
      </c>
      <c r="D59" s="1231" t="s">
        <v>163</v>
      </c>
      <c r="E59" s="1208" t="s">
        <v>1678</v>
      </c>
      <c r="F59" s="1187" t="s">
        <v>1791</v>
      </c>
      <c r="AX59" s="1233" t="s">
        <v>1792</v>
      </c>
      <c r="AZ59" s="1180" t="s">
        <v>1793</v>
      </c>
      <c r="BE59" s="1233">
        <v>2057</v>
      </c>
      <c r="BJ59" s="1330" t="s">
        <v>1749</v>
      </c>
      <c r="BL59" s="1330" t="s">
        <v>1749</v>
      </c>
    </row>
    <row customHeight="1" ht="11.25">
      <c r="A60" s="1187" t="s">
        <v>1794</v>
      </c>
      <c r="D60" s="1231" t="s">
        <v>1795</v>
      </c>
      <c r="E60" s="1208" t="s">
        <v>1678</v>
      </c>
      <c r="F60" s="1187" t="s">
        <v>1791</v>
      </c>
      <c r="AX60" s="1233" t="s">
        <v>1796</v>
      </c>
      <c r="AZ60" s="1233" t="s">
        <v>1316</v>
      </c>
      <c r="BE60" s="1233">
        <v>2058</v>
      </c>
      <c r="BJ60" s="1330" t="s">
        <v>1755</v>
      </c>
      <c r="BL60" s="1330" t="s">
        <v>1755</v>
      </c>
    </row>
    <row customHeight="1" ht="11.25">
      <c r="A61" s="1187" t="s">
        <v>1797</v>
      </c>
      <c r="D61" s="1231" t="s">
        <v>1798</v>
      </c>
      <c r="E61" s="1208" t="s">
        <v>1678</v>
      </c>
      <c r="F61" s="1187" t="s">
        <v>1791</v>
      </c>
      <c r="AX61" s="1233" t="s">
        <v>1799</v>
      </c>
      <c r="AZ61" s="1233" t="s">
        <v>1342</v>
      </c>
      <c r="BE61" s="1233">
        <v>2059</v>
      </c>
      <c r="BL61" s="1330" t="s">
        <v>1131</v>
      </c>
    </row>
    <row customHeight="1" ht="11.25">
      <c r="A62" s="1187" t="s">
        <v>1800</v>
      </c>
      <c r="D62" s="1231" t="s">
        <v>162</v>
      </c>
      <c r="E62" s="1208">
        <v>38</v>
      </c>
      <c r="F62" s="1187" t="s">
        <v>1791</v>
      </c>
      <c r="AZ62" s="1233" t="s">
        <v>1377</v>
      </c>
      <c r="BE62" s="1233">
        <v>2060</v>
      </c>
      <c r="BL62" s="1330" t="s">
        <v>1133</v>
      </c>
    </row>
    <row customHeight="1" ht="11.25">
      <c r="A63" s="1187" t="s">
        <v>1801</v>
      </c>
      <c r="D63" s="1231" t="s">
        <v>1802</v>
      </c>
      <c r="E63" s="1208">
        <v>47</v>
      </c>
      <c r="F63" s="1187" t="s">
        <v>1791</v>
      </c>
      <c r="AZ63" s="1233" t="s">
        <v>1409</v>
      </c>
      <c r="BE63" s="1233">
        <v>2061</v>
      </c>
    </row>
    <row customHeight="1" ht="11.25">
      <c r="A64" s="1187" t="s">
        <v>1803</v>
      </c>
      <c r="D64" s="1231" t="s">
        <v>1804</v>
      </c>
      <c r="E64" s="1208">
        <v>47</v>
      </c>
      <c r="F64" s="1187" t="s">
        <v>1791</v>
      </c>
      <c r="AZ64" s="1233" t="s">
        <v>1432</v>
      </c>
      <c r="BE64" s="1233">
        <v>2062</v>
      </c>
    </row>
    <row customHeight="1" ht="11.25">
      <c r="A65" s="1187" t="s">
        <v>1805</v>
      </c>
      <c r="D65" s="1187"/>
      <c r="BE65" s="1233">
        <v>2063</v>
      </c>
    </row>
    <row customHeight="1" ht="11.25">
      <c r="A66" s="1187" t="s">
        <v>1806</v>
      </c>
      <c r="AZ66" s="1180" t="s">
        <v>1807</v>
      </c>
      <c r="BE66" s="1233">
        <v>2064</v>
      </c>
    </row>
    <row customHeight="1" ht="11.25">
      <c r="A67" s="1187" t="s">
        <v>1808</v>
      </c>
      <c r="AZ67" s="1233" t="s">
        <v>1317</v>
      </c>
      <c r="BE67" s="1233">
        <v>2065</v>
      </c>
    </row>
    <row customHeight="1" ht="11.25">
      <c r="A68" s="1187" t="s">
        <v>1809</v>
      </c>
      <c r="AZ68" s="1233" t="s">
        <v>1343</v>
      </c>
      <c r="BE68" s="1233">
        <v>2066</v>
      </c>
      <c r="BH68" s="1180" t="s">
        <v>1810</v>
      </c>
      <c r="BJ68" s="1180" t="s">
        <v>1811</v>
      </c>
      <c r="BL68" s="1180" t="s">
        <v>1812</v>
      </c>
      <c r="BN68" s="1180" t="s">
        <v>1813</v>
      </c>
    </row>
    <row customHeight="1" ht="11.25">
      <c r="A69" s="1187" t="s">
        <v>1814</v>
      </c>
      <c r="AZ69" s="1233" t="s">
        <v>1378</v>
      </c>
      <c r="BE69" s="1233">
        <v>2067</v>
      </c>
      <c r="BH69" s="1181" t="s">
        <v>1815</v>
      </c>
      <c r="BI69" s="1230" t="s">
        <v>136</v>
      </c>
      <c r="BJ69" s="1181" t="s">
        <v>1816</v>
      </c>
      <c r="BK69" s="1230" t="s">
        <v>136</v>
      </c>
      <c r="BL69" s="1181" t="s">
        <v>1817</v>
      </c>
      <c r="BM69" s="1183" t="s">
        <v>136</v>
      </c>
      <c r="BN69" s="1181" t="s">
        <v>1818</v>
      </c>
    </row>
    <row customHeight="1" ht="11.25">
      <c r="A70" s="1187" t="s">
        <v>1819</v>
      </c>
      <c r="AZ70" s="1233" t="s">
        <v>1410</v>
      </c>
      <c r="BE70" s="1233">
        <v>2068</v>
      </c>
      <c r="BH70" s="1181" t="s">
        <v>1820</v>
      </c>
      <c r="BJ70" s="1181" t="s">
        <v>1821</v>
      </c>
      <c r="BL70" s="1181" t="s">
        <v>1822</v>
      </c>
      <c r="BN70" s="1181" t="s">
        <v>1823</v>
      </c>
    </row>
    <row customHeight="1" ht="11.25">
      <c r="A71" s="1187" t="s">
        <v>1824</v>
      </c>
      <c r="AZ71" s="1233" t="s">
        <v>1412</v>
      </c>
      <c r="BE71" s="1233">
        <v>2069</v>
      </c>
      <c r="BH71" s="1181" t="s">
        <v>1825</v>
      </c>
      <c r="BI71" s="1230" t="s">
        <v>90</v>
      </c>
      <c r="BJ71" s="1181" t="s">
        <v>1826</v>
      </c>
      <c r="BK71" s="1230" t="s">
        <v>90</v>
      </c>
      <c r="BL71" s="1181" t="s">
        <v>1827</v>
      </c>
      <c r="BM71" s="1183" t="s">
        <v>90</v>
      </c>
      <c r="BN71" s="1181" t="s">
        <v>1828</v>
      </c>
    </row>
    <row customHeight="1" ht="11.25">
      <c r="A72" s="1187" t="s">
        <v>1829</v>
      </c>
      <c r="AZ72" s="1233" t="s">
        <v>19</v>
      </c>
      <c r="BE72" s="1233">
        <v>2070</v>
      </c>
      <c r="BH72" s="1181" t="s">
        <v>1830</v>
      </c>
      <c r="BJ72" s="1181" t="s">
        <v>1830</v>
      </c>
      <c r="BL72" s="1181" t="s">
        <v>1830</v>
      </c>
      <c r="BN72" s="1181" t="s">
        <v>1831</v>
      </c>
    </row>
    <row customHeight="1" ht="11.25">
      <c r="A73" s="1187" t="s">
        <v>1832</v>
      </c>
      <c r="BH73" s="1181" t="s">
        <v>1833</v>
      </c>
      <c r="BI73" s="1230" t="s">
        <v>116</v>
      </c>
      <c r="BJ73" s="1181" t="s">
        <v>1834</v>
      </c>
      <c r="BK73" s="1230" t="s">
        <v>116</v>
      </c>
      <c r="BL73" s="1181" t="s">
        <v>1835</v>
      </c>
      <c r="BM73" s="1183" t="s">
        <v>116</v>
      </c>
      <c r="BN73" s="1181" t="s">
        <v>1836</v>
      </c>
    </row>
    <row customHeight="1" ht="11.25">
      <c r="A74" s="1187" t="s">
        <v>1837</v>
      </c>
      <c r="BH74" s="1181" t="s">
        <v>1838</v>
      </c>
      <c r="BJ74" s="1181" t="s">
        <v>1839</v>
      </c>
      <c r="BL74" s="1181" t="s">
        <v>1840</v>
      </c>
      <c r="BN74" s="1181" t="s">
        <v>1841</v>
      </c>
    </row>
    <row customHeight="1" ht="11.25">
      <c r="A75" s="1187" t="s">
        <v>1842</v>
      </c>
      <c r="AZ75" s="1180" t="s">
        <v>1843</v>
      </c>
      <c r="BH75" s="1181" t="s">
        <v>1844</v>
      </c>
      <c r="BJ75" s="1181" t="s">
        <v>1844</v>
      </c>
      <c r="BL75" s="1181" t="s">
        <v>1844</v>
      </c>
    </row>
    <row customHeight="1" ht="11.25">
      <c r="A76" s="1187" t="s">
        <v>1845</v>
      </c>
      <c r="AZ76" s="1233" t="s">
        <v>1326</v>
      </c>
      <c r="BH76" s="1181" t="s">
        <v>1846</v>
      </c>
      <c r="BJ76" s="1181" t="s">
        <v>1847</v>
      </c>
      <c r="BL76" s="1181" t="s">
        <v>1848</v>
      </c>
    </row>
    <row customHeight="1" ht="11.25">
      <c r="A77" s="1187" t="s">
        <v>1849</v>
      </c>
      <c r="AZ77" s="1233" t="s">
        <v>1353</v>
      </c>
    </row>
    <row customHeight="1" ht="11.25">
      <c r="A78" s="1187" t="s">
        <v>1850</v>
      </c>
      <c r="AZ78" s="1233" t="s">
        <v>1385</v>
      </c>
    </row>
    <row customHeight="1" ht="11.25">
      <c r="A79" s="1187" t="s">
        <v>1851</v>
      </c>
      <c r="AZ79" s="1233" t="s">
        <v>1416</v>
      </c>
      <c r="BH79" s="1180" t="s">
        <v>1852</v>
      </c>
      <c r="BJ79" s="1180" t="s">
        <v>1853</v>
      </c>
      <c r="BL79" s="1180" t="s">
        <v>1854</v>
      </c>
    </row>
    <row customHeight="1" ht="11.25">
      <c r="A80" s="1187" t="s">
        <v>1855</v>
      </c>
      <c r="AZ80" s="1233" t="s">
        <v>1437</v>
      </c>
      <c r="BH80" s="1181" t="s">
        <v>1856</v>
      </c>
      <c r="BJ80" s="1181" t="s">
        <v>1857</v>
      </c>
      <c r="BL80" s="1181" t="s">
        <v>1858</v>
      </c>
    </row>
    <row customHeight="1" ht="11.25">
      <c r="A81" s="1187" t="s">
        <v>1859</v>
      </c>
      <c r="AZ81" s="1233" t="s">
        <v>1454</v>
      </c>
      <c r="BH81" s="1181" t="s">
        <v>1860</v>
      </c>
      <c r="BJ81" s="1181" t="s">
        <v>1861</v>
      </c>
      <c r="BL81" s="1181" t="s">
        <v>1862</v>
      </c>
    </row>
    <row customHeight="1" ht="11.25">
      <c r="A82" s="1187" t="s">
        <v>1863</v>
      </c>
      <c r="AZ82" s="1233" t="s">
        <v>1469</v>
      </c>
      <c r="BH82" s="1181" t="s">
        <v>1864</v>
      </c>
      <c r="BJ82" s="1181" t="s">
        <v>1865</v>
      </c>
      <c r="BL82" s="1181" t="s">
        <v>1866</v>
      </c>
    </row>
    <row customHeight="1" ht="11.25">
      <c r="A83" s="1187" t="s">
        <v>1867</v>
      </c>
      <c r="BH83" s="1181" t="s">
        <v>1868</v>
      </c>
      <c r="BJ83" s="1181" t="s">
        <v>1869</v>
      </c>
      <c r="BL83" s="1181" t="s">
        <v>1870</v>
      </c>
    </row>
    <row customHeight="1" ht="11.25">
      <c r="A84" s="1187" t="s">
        <v>1871</v>
      </c>
      <c r="AZ84" s="1180" t="s">
        <v>1872</v>
      </c>
    </row>
    <row customHeight="1" ht="11.25">
      <c r="A85" s="1983" t="s">
        <v>1873</v>
      </c>
      <c r="AZ85" s="1233" t="s">
        <v>1874</v>
      </c>
    </row>
    <row customHeight="1" ht="11.25">
      <c r="A86" s="1187" t="s">
        <v>1875</v>
      </c>
      <c r="AZ86" s="1233" t="s">
        <v>1876</v>
      </c>
      <c r="BH86" s="1180" t="s">
        <v>1877</v>
      </c>
      <c r="BJ86" s="1180" t="s">
        <v>1878</v>
      </c>
      <c r="BL86" s="1180" t="s">
        <v>1879</v>
      </c>
    </row>
    <row customHeight="1" ht="11.25">
      <c r="A87" s="1187" t="s">
        <v>1880</v>
      </c>
      <c r="AZ87" s="1233" t="s">
        <v>1881</v>
      </c>
      <c r="BH87" s="1181" t="s">
        <v>1882</v>
      </c>
      <c r="BJ87" s="1181" t="s">
        <v>1883</v>
      </c>
      <c r="BL87" s="1181" t="s">
        <v>1884</v>
      </c>
    </row>
    <row customHeight="1" ht="11.25">
      <c r="A88" s="1187" t="s">
        <v>1885</v>
      </c>
      <c r="AZ88" s="1719"/>
      <c r="BH88" s="1181" t="s">
        <v>1886</v>
      </c>
      <c r="BJ88" s="1181" t="s">
        <v>1887</v>
      </c>
      <c r="BL88" s="1181" t="s">
        <v>1888</v>
      </c>
    </row>
    <row customHeight="1" ht="11.25">
      <c r="A89" s="1187" t="s">
        <v>1889</v>
      </c>
      <c r="AZ89" s="1180" t="s">
        <v>1890</v>
      </c>
    </row>
    <row customHeight="1" ht="11.25">
      <c r="A90" s="1187" t="s">
        <v>1891</v>
      </c>
      <c r="AZ90" s="1233" t="s">
        <v>1109</v>
      </c>
    </row>
    <row customHeight="1" ht="11.25">
      <c r="A91" s="1187" t="s">
        <v>1892</v>
      </c>
      <c r="AZ91" s="1233" t="s">
        <v>1145</v>
      </c>
      <c r="BH91" s="1180" t="s">
        <v>1893</v>
      </c>
      <c r="BJ91" s="1180" t="s">
        <v>1894</v>
      </c>
      <c r="BL91" s="1180" t="s">
        <v>1895</v>
      </c>
    </row>
    <row customHeight="1" ht="11.25">
      <c r="AZ92" s="1233" t="s">
        <v>1896</v>
      </c>
      <c r="BH92" s="1181" t="s">
        <v>1897</v>
      </c>
      <c r="BJ92" s="1181" t="s">
        <v>1898</v>
      </c>
      <c r="BL92" s="1181" t="s">
        <v>1899</v>
      </c>
    </row>
    <row customHeight="1" ht="11.25">
      <c r="AZ93" s="1233" t="s">
        <v>1900</v>
      </c>
      <c r="BH93" s="1181" t="s">
        <v>1901</v>
      </c>
      <c r="BJ93" s="1181" t="s">
        <v>1902</v>
      </c>
      <c r="BL93" s="1181" t="s">
        <v>1903</v>
      </c>
    </row>
    <row customHeight="1" ht="11.25">
      <c r="AZ94" s="1233" t="s">
        <v>1904</v>
      </c>
    </row>
    <row r="96" customHeight="1" ht="11.25">
      <c r="AZ96" s="1180" t="s">
        <v>1905</v>
      </c>
      <c r="BH96" s="1180" t="s">
        <v>1906</v>
      </c>
      <c r="BJ96" s="1180" t="s">
        <v>1907</v>
      </c>
      <c r="BL96" s="1180" t="s">
        <v>1908</v>
      </c>
      <c r="BN96" s="1180" t="s">
        <v>1909</v>
      </c>
    </row>
    <row customHeight="1" ht="11.25">
      <c r="AZ97" s="2014" t="s">
        <v>1910</v>
      </c>
      <c r="BA97" s="2015" t="s">
        <v>1911</v>
      </c>
      <c r="BH97" s="1181" t="s">
        <v>1912</v>
      </c>
      <c r="BJ97" s="1181" t="s">
        <v>1913</v>
      </c>
      <c r="BL97" s="1181" t="s">
        <v>1914</v>
      </c>
      <c r="BN97" s="1181" t="s">
        <v>1915</v>
      </c>
    </row>
    <row customHeight="1" ht="11.25">
      <c r="AZ98" s="2014" t="s">
        <v>1916</v>
      </c>
      <c r="BA98" s="2015" t="s">
        <v>1917</v>
      </c>
      <c r="BH98" s="1181" t="s">
        <v>1918</v>
      </c>
      <c r="BJ98" s="1181" t="s">
        <v>1919</v>
      </c>
      <c r="BL98" s="1181" t="s">
        <v>1920</v>
      </c>
      <c r="BN98" s="1181" t="s">
        <v>1921</v>
      </c>
    </row>
    <row customHeight="1" ht="22.5">
      <c r="AZ99" s="2014" t="s">
        <v>1922</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1923</v>
      </c>
      <c r="BJ99" s="1181" t="s">
        <v>1924</v>
      </c>
      <c r="BL99" s="1181" t="s">
        <v>1925</v>
      </c>
      <c r="BN99" s="1181" t="s">
        <v>1926</v>
      </c>
    </row>
    <row customHeight="1" ht="22.5">
      <c r="AZ100" s="2014" t="s">
        <v>1927</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1515</v>
      </c>
      <c r="BL100" s="1181" t="s">
        <v>1515</v>
      </c>
      <c r="BN100" s="1181" t="s">
        <v>1928</v>
      </c>
    </row>
    <row customHeight="1" ht="22.5">
      <c r="AZ101" s="2014" t="s">
        <v>1929</v>
      </c>
      <c r="BA101" s="2015" t="s">
        <v>1930</v>
      </c>
      <c r="BN101" s="1181" t="s">
        <v>1931</v>
      </c>
    </row>
    <row customHeight="1" ht="22.5">
      <c r="AZ102" s="2014" t="s">
        <v>1932</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1933</v>
      </c>
    </row>
    <row customHeight="1" ht="11.25">
      <c r="AZ103" s="2014" t="s">
        <v>1934</v>
      </c>
      <c r="BA103" s="2015" t="s">
        <v>1935</v>
      </c>
      <c r="BN103" s="1181" t="s">
        <v>1936</v>
      </c>
    </row>
    <row customHeight="1" ht="11.25">
      <c r="BN104" s="1181" t="s">
        <v>1937</v>
      </c>
    </row>
    <row customHeight="1" ht="11.25">
      <c r="AZ105" s="1805" t="s">
        <v>1938</v>
      </c>
    </row>
    <row customHeight="1" ht="11.25">
      <c r="AZ106" s="1233" t="s">
        <v>1939</v>
      </c>
    </row>
    <row customHeight="1" ht="11.25">
      <c r="AZ107" s="1233" t="s">
        <v>1940</v>
      </c>
      <c r="BH107" s="1180" t="s">
        <v>1941</v>
      </c>
      <c r="BJ107" s="1180" t="s">
        <v>1942</v>
      </c>
      <c r="BL107" s="1180" t="s">
        <v>1943</v>
      </c>
      <c r="BN107" s="1180" t="s">
        <v>1944</v>
      </c>
    </row>
    <row customHeight="1" ht="11.25">
      <c r="AZ108" s="1233" t="s">
        <v>662</v>
      </c>
      <c r="BH108" s="1181" t="s">
        <v>1945</v>
      </c>
      <c r="BJ108" s="1181" t="s">
        <v>1946</v>
      </c>
      <c r="BL108" s="1181" t="s">
        <v>1600</v>
      </c>
      <c r="BN108" s="1181" t="s">
        <v>1947</v>
      </c>
    </row>
    <row customHeight="1" ht="11.25">
      <c r="BH109" s="1181" t="s">
        <v>1948</v>
      </c>
    </row>
    <row customHeight="1" ht="11.25">
      <c r="AZ110" s="1805" t="s">
        <v>1949</v>
      </c>
      <c r="BH110" s="1181" t="s">
        <v>1948</v>
      </c>
    </row>
    <row customHeight="1" ht="11.25">
      <c r="AZ111" s="2014" t="s">
        <v>1910</v>
      </c>
      <c r="BA111" s="2015" t="s">
        <v>1911</v>
      </c>
    </row>
    <row customHeight="1" ht="11.25">
      <c r="AZ112" s="2014" t="s">
        <v>1916</v>
      </c>
      <c r="BA112" s="2015" t="s">
        <v>1917</v>
      </c>
    </row>
    <row customHeight="1" ht="22.5">
      <c r="AZ113" s="2014" t="s">
        <v>1922</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1927</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1950</v>
      </c>
    </row>
    <row customHeight="1" ht="22.5">
      <c r="AZ115" s="2014" t="s">
        <v>1932</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611</v>
      </c>
    </row>
    <row customHeight="1" ht="11.25">
      <c r="AZ116" s="2014" t="s">
        <v>1934</v>
      </c>
      <c r="BA116" s="2015" t="s">
        <v>1935</v>
      </c>
      <c r="BH116" s="1181" t="s">
        <v>1339</v>
      </c>
    </row>
    <row customHeight="1" ht="11.25">
      <c r="BH117" s="1181" t="s">
        <v>1374</v>
      </c>
    </row>
    <row customHeight="1" ht="11.25">
      <c r="BH118" s="1181" t="s">
        <v>1407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A8546-623F-FE87-12BE-EC0160505752}" mc:Ignorable="x14ac xr xr2 xr3">
  <dimension ref="A1:J25"/>
  <sheetViews>
    <sheetView topLeftCell="A1" showGridLines="0" zoomScale="90" workbookViewId="0">
      <selection activeCell="A1" sqref="A1"/>
    </sheetView>
  </sheetViews>
  <sheetFormatPr defaultColWidth="9.140625" customHeight="1" defaultRowHeight="11.25"/>
  <cols>
    <col min="1" max="2" style="5986" width="15.00390625" hidden="1" customWidth="1"/>
    <col min="3" max="3" style="6030" width="3.00390625" customWidth="1"/>
    <col min="4" max="4" style="6031" width="6.00390625" customWidth="1"/>
    <col min="5" max="5" style="6030" width="52.00390625" customWidth="1"/>
    <col min="6" max="6" style="6030" width="48.00390625" customWidth="1"/>
    <col min="7" max="7" style="6030" width="93.00390625" customWidth="1"/>
    <col min="8" max="8" style="6030" width="8.00390625" customWidth="1"/>
    <col min="9" max="9" style="6030" width="64.00390625" customWidth="1"/>
    <col min="10" max="10" style="6030" width="9.140625" hidden="1"/>
  </cols>
  <sheetData>
    <row customHeight="1" ht="11.25" hidden="1">
      <c r="A1" s="614" t="s">
        <v>392</v>
      </c>
      <c r="J1" s="568" t="s">
        <v>14</v>
      </c>
    </row>
    <row customHeight="1" ht="22.5" hidden="1">
      <c r="A2" s="615"/>
      <c r="B2" s="615"/>
      <c r="C2" s="1843" t="s">
        <v>104</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Приморский край</v>
      </c>
      <c r="E6" s="2289"/>
      <c r="F6" s="2289"/>
      <c r="I6" s="828"/>
      <c r="J6" s="568">
        <v>17</v>
      </c>
    </row>
    <row s="5944"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393</v>
      </c>
      <c r="E9" s="2318"/>
      <c r="F9" s="2318"/>
      <c r="G9" s="2321" t="s">
        <v>394</v>
      </c>
      <c r="J9" s="568">
        <v>11</v>
      </c>
    </row>
    <row customHeight="1" ht="11.549999999999999">
      <c r="A10" s="615"/>
      <c r="B10" s="615"/>
      <c r="C10" s="570"/>
      <c r="D10" s="1587" t="s">
        <v>88</v>
      </c>
      <c r="E10" s="1589" t="s">
        <v>395</v>
      </c>
      <c r="F10" s="1589" t="s">
        <v>396</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КГУП "Примтеплоэнерго"</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1951</v>
      </c>
      <c r="F13" s="1634" t="s">
        <v>399</v>
      </c>
      <c r="G13" s="587"/>
      <c r="H13" s="1646"/>
      <c r="J13" s="568">
        <v>19</v>
      </c>
    </row>
    <row customHeight="1" ht="19.95">
      <c r="A14" s="615"/>
      <c r="B14" s="615"/>
      <c r="C14" s="570"/>
      <c r="D14" s="1636" t="s">
        <v>799</v>
      </c>
      <c r="E14" s="1637" t="s">
        <v>1952</v>
      </c>
      <c r="F14" s="1639"/>
      <c r="G14" s="1638" t="s">
        <v>1953</v>
      </c>
      <c r="H14" s="1646"/>
      <c r="J14" s="568">
        <v>19</v>
      </c>
    </row>
    <row customHeight="1" ht="19.95">
      <c r="A15" s="615"/>
      <c r="B15" s="615"/>
      <c r="C15" s="570"/>
      <c r="D15" s="1636" t="s">
        <v>400</v>
      </c>
      <c r="E15" s="1637" t="s">
        <v>1954</v>
      </c>
      <c r="F15" s="1639"/>
      <c r="G15" s="1638" t="s">
        <v>1955</v>
      </c>
      <c r="H15" s="1646"/>
      <c r="J15" s="568">
        <v>19</v>
      </c>
    </row>
    <row customHeight="1" ht="24">
      <c r="A16" s="615"/>
      <c r="B16" s="615"/>
      <c r="C16" s="570"/>
      <c r="D16" s="1636" t="s">
        <v>403</v>
      </c>
      <c r="E16" s="1635" t="s">
        <v>1956</v>
      </c>
      <c r="F16" s="1644"/>
      <c r="G16" s="587" t="s">
        <v>1957</v>
      </c>
      <c r="H16" s="1646"/>
      <c r="J16" s="568">
        <v>23</v>
      </c>
    </row>
    <row customHeight="1" ht="48.29999999999999">
      <c r="A17" s="615"/>
      <c r="B17" s="615"/>
      <c r="C17" s="570"/>
      <c r="D17" s="1633">
        <v>3</v>
      </c>
      <c r="E17" s="1640" t="s">
        <v>1958</v>
      </c>
      <c r="F17" s="1639"/>
      <c r="G17" s="587" t="s">
        <v>1959</v>
      </c>
      <c r="H17" s="1646"/>
      <c r="J17" s="568">
        <v>46</v>
      </c>
    </row>
    <row customHeight="1" ht="48.29999999999999">
      <c r="A18" s="1588">
        <v>1</v>
      </c>
      <c r="B18" s="615"/>
      <c r="C18" s="1590"/>
      <c r="D18" s="1633" t="s">
        <v>91</v>
      </c>
      <c r="E18" s="1640" t="s">
        <v>1960</v>
      </c>
      <c r="F18" s="1639"/>
      <c r="G18" s="587" t="s">
        <v>1959</v>
      </c>
      <c r="H18" s="1646"/>
      <c r="I18" s="965"/>
      <c r="J18" s="568">
        <v>46</v>
      </c>
    </row>
    <row customHeight="1" ht="23.25">
      <c r="A19" s="615"/>
      <c r="B19" s="615"/>
      <c r="C19" s="570"/>
      <c r="D19" s="1633" t="s">
        <v>116</v>
      </c>
      <c r="E19" s="1640" t="s">
        <v>1961</v>
      </c>
      <c r="F19" s="1634" t="s">
        <v>399</v>
      </c>
      <c r="G19" s="2584" t="s">
        <v>1962</v>
      </c>
      <c r="H19" s="588"/>
      <c r="J19" s="568">
        <v>22</v>
      </c>
    </row>
    <row s="9825" customFormat="1" customHeight="1" ht="5.25" hidden="1">
      <c r="A20" s="615"/>
      <c r="B20" s="615"/>
      <c r="C20" s="1642"/>
      <c r="D20" s="1641" t="s">
        <v>1206</v>
      </c>
      <c r="E20" s="1127"/>
      <c r="F20" s="1126"/>
      <c r="G20" s="2585"/>
      <c r="J20" s="1643">
        <v>0</v>
      </c>
    </row>
    <row customHeight="1" ht="15.75">
      <c r="A21" s="615"/>
      <c r="B21" s="615"/>
      <c r="C21" s="570"/>
      <c r="D21" s="580"/>
      <c r="E21" s="528" t="s">
        <v>432</v>
      </c>
      <c r="F21" s="582"/>
      <c r="G21" s="2586"/>
      <c r="H21" s="1646"/>
      <c r="J21" s="568">
        <v>15</v>
      </c>
    </row>
    <row s="5986" customFormat="1" customHeight="1" ht="26.25">
      <c r="A22" s="615"/>
      <c r="B22" s="615"/>
      <c r="C22" s="615"/>
      <c r="D22" s="1633" t="s">
        <v>92</v>
      </c>
      <c r="E22" s="587" t="s">
        <v>1963</v>
      </c>
      <c r="F22" s="1639"/>
      <c r="G22" s="587" t="s">
        <v>1964</v>
      </c>
      <c r="H22" s="1645"/>
      <c r="J22" s="614">
        <v>25</v>
      </c>
    </row>
    <row s="5986" customFormat="1" customHeight="1" ht="19.95">
      <c r="A23" s="615"/>
      <c r="B23" s="615"/>
      <c r="C23" s="615"/>
      <c r="D23" s="1633" t="s">
        <v>93</v>
      </c>
      <c r="E23" s="1640" t="s">
        <v>1965</v>
      </c>
      <c r="F23" s="1644"/>
      <c r="G23" s="587" t="s">
        <v>1966</v>
      </c>
      <c r="H23" s="1645"/>
      <c r="J23" s="614">
        <v>19</v>
      </c>
    </row>
    <row s="5986" customFormat="1" customHeight="1" ht="144" hidden="1">
      <c r="A24" s="615"/>
      <c r="B24" s="615"/>
      <c r="C24" s="615"/>
      <c r="D24" s="1633" t="s">
        <v>129</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112EE-80A1-A6DE-6D22-E3C4C852CCD8}" mc:Ignorable="x14ac xr xr2 xr3">
  <dimension ref="A1:IU24"/>
  <sheetViews>
    <sheetView topLeftCell="A1" showGridLines="0" zoomScale="90" workbookViewId="0">
      <selection activeCell="A1" sqref="A1"/>
    </sheetView>
  </sheetViews>
  <sheetFormatPr defaultColWidth="9.140625" customHeight="1" defaultRowHeight="14.25"/>
  <cols>
    <col min="1" max="1" style="5387" width="9.140625" hidden="1"/>
    <col min="2" max="2" style="5467" width="9.140625" hidden="1"/>
    <col min="3" max="3" style="5387" width="3.7109375" hidden="1" customWidth="1"/>
    <col min="4" max="4" style="5566" width="3.00390625" customWidth="1"/>
    <col min="5" max="5" style="5387" width="6.00390625" customWidth="1"/>
    <col min="6" max="6" style="5387" width="46.00390625" customWidth="1"/>
    <col min="7" max="8" style="5387" width="16.00390625" customWidth="1"/>
    <col min="9" max="9" style="5387" width="35.00390625" customWidth="1"/>
    <col min="10" max="10" style="5387" width="89.00390625" customWidth="1"/>
    <col min="11" max="11" style="5567" width="3.00390625" customWidth="1"/>
    <col min="12" max="14" style="5567" width="8.00390625" customWidth="1"/>
    <col min="15" max="15" style="5567" width="25.00390625" customWidth="1"/>
    <col min="16" max="16" style="5567" width="14.00390625" customWidth="1"/>
    <col min="17" max="20" style="5568" width="8.00390625" customWidth="1"/>
    <col min="21" max="254" style="5387" width="8.00390625" customWidth="1"/>
    <col min="255" max="255" style="5387" width="9.140625" hidden="1"/>
  </cols>
  <sheetData>
    <row customHeight="1" ht="22.5" hidden="1">
      <c r="F1" s="1744" t="s">
        <v>1967</v>
      </c>
      <c r="G1" s="1744" t="s">
        <v>49</v>
      </c>
      <c r="H1" s="1744" t="s">
        <v>51</v>
      </c>
      <c r="IU1" s="1268" t="s">
        <v>14</v>
      </c>
    </row>
    <row s="5528" customFormat="1" customHeight="1" ht="22.5" hidden="1">
      <c r="A2" s="944"/>
      <c r="B2" s="1273">
        <v>1</v>
      </c>
      <c r="C2" s="1273"/>
      <c r="D2" s="2041" t="s">
        <v>104</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68"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83"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83"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483"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83" customFormat="1" customHeight="1" ht="14.699999999999998">
      <c r="A7" s="1268"/>
      <c r="B7" s="1273"/>
      <c r="C7" s="1268"/>
      <c r="D7" s="1608"/>
      <c r="E7" s="2214" t="s">
        <v>393</v>
      </c>
      <c r="F7" s="2215"/>
      <c r="G7" s="2215"/>
      <c r="H7" s="2215"/>
      <c r="I7" s="2215"/>
      <c r="J7" s="2587" t="s">
        <v>394</v>
      </c>
      <c r="K7" s="613"/>
      <c r="L7" s="613"/>
      <c r="M7" s="613"/>
      <c r="N7" s="613"/>
      <c r="O7" s="339"/>
      <c r="P7" s="613"/>
      <c r="Q7" s="338"/>
      <c r="R7" s="338"/>
      <c r="S7" s="338"/>
      <c r="T7" s="338"/>
      <c r="IU7" s="620">
        <v>14</v>
      </c>
    </row>
    <row s="5483" customFormat="1" customHeight="1" ht="21">
      <c r="A8" s="1268"/>
      <c r="B8" s="1273"/>
      <c r="C8" s="1268"/>
      <c r="D8" s="1608"/>
      <c r="E8" s="1661" t="s">
        <v>88</v>
      </c>
      <c r="F8" s="1653" t="s">
        <v>1967</v>
      </c>
      <c r="G8" s="1653" t="s">
        <v>49</v>
      </c>
      <c r="H8" s="1653" t="s">
        <v>51</v>
      </c>
      <c r="I8" s="1653" t="s">
        <v>1968</v>
      </c>
      <c r="J8" s="2588"/>
      <c r="K8" s="613"/>
      <c r="L8" s="613"/>
      <c r="M8" s="613"/>
      <c r="N8" s="613"/>
      <c r="O8" s="339"/>
      <c r="P8" s="613"/>
      <c r="Q8" s="338"/>
      <c r="R8" s="338"/>
      <c r="S8" s="338"/>
      <c r="T8" s="338"/>
      <c r="IU8" s="620">
        <v>20</v>
      </c>
    </row>
    <row s="5528"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28" customFormat="1" customHeight="1" ht="15.75">
      <c r="A10" s="1744"/>
      <c r="B10" s="1273"/>
      <c r="C10" s="525"/>
      <c r="D10" s="914"/>
      <c r="E10" s="1654"/>
      <c r="F10" s="1613" t="s">
        <v>1969</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83"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83"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83"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61" customFormat="1" customHeight="1" ht="10.5">
      <c r="B14" s="947"/>
      <c r="D14" s="295"/>
      <c r="K14" s="613"/>
      <c r="L14" s="613"/>
      <c r="M14" s="613"/>
      <c r="N14" s="613"/>
      <c r="O14" s="339"/>
      <c r="P14" s="613"/>
      <c r="Q14" s="338"/>
      <c r="R14" s="338"/>
      <c r="S14" s="338"/>
      <c r="T14" s="338"/>
      <c r="IU14" s="294">
        <v>10</v>
      </c>
    </row>
    <row s="5561"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30381-ED6D-B7DF-0224-FB1027738E3A}" mc:Ignorable="x14ac xr xr2 xr3">
  <dimension ref="A1:IW15"/>
  <sheetViews>
    <sheetView topLeftCell="A1" showGridLines="0" zoomScale="90" workbookViewId="0">
      <selection activeCell="A1" sqref="A1"/>
    </sheetView>
  </sheetViews>
  <sheetFormatPr defaultColWidth="9.140625" customHeight="1" defaultRowHeight="14.25"/>
  <cols>
    <col min="1" max="1" style="5387" width="9.140625" hidden="1"/>
    <col min="2" max="2" style="5467" width="9.140625" hidden="1"/>
    <col min="3" max="3" style="5387" width="3.7109375" hidden="1" customWidth="1"/>
    <col min="4" max="4" style="5566" width="3.00390625" customWidth="1"/>
    <col min="5" max="5" style="5387" width="6.00390625" customWidth="1"/>
    <col min="6" max="6" style="5387" width="27.00390625" customWidth="1"/>
    <col min="7" max="7" style="5387" width="16.00390625" customWidth="1"/>
    <col min="8" max="8" style="5387" width="12.00390625" customWidth="1"/>
    <col min="9" max="9" style="5387" width="32.00390625" customWidth="1"/>
    <col min="10" max="11" style="5387" width="41.00390625" customWidth="1"/>
    <col min="12" max="12" style="5387" width="89.00390625" customWidth="1"/>
    <col min="13" max="13" style="5567" width="3.00390625" customWidth="1"/>
    <col min="14" max="16" style="5567" width="8.00390625" customWidth="1"/>
    <col min="17" max="17" style="5567" width="25.00390625" customWidth="1"/>
    <col min="18" max="18" style="5567" width="14.00390625" customWidth="1"/>
    <col min="19" max="22" style="5568" width="8.00390625" customWidth="1"/>
    <col min="23" max="256" style="5387" width="8.00390625" customWidth="1"/>
    <col min="257" max="257" style="5387" width="9.140625" hidden="1"/>
  </cols>
  <sheetData>
    <row customHeight="1" ht="22.5" hidden="1">
      <c r="IW1" s="1268" t="s">
        <v>14</v>
      </c>
    </row>
    <row s="5528" customFormat="1" customHeight="1" ht="22.5" hidden="1">
      <c r="A2" s="944"/>
      <c r="B2" s="1273">
        <v>1</v>
      </c>
      <c r="C2" s="1273"/>
      <c r="D2" s="2041" t="s">
        <v>104</v>
      </c>
      <c r="E2" s="2002"/>
      <c r="F2" s="2005" t="str">
        <f>IF(ROIV_INFO_NAME="","",ROIV_INFO_NAME)</f>
        <v>КГУП "Примтеплоэнерго"</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68"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83"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83"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13"/>
      <c r="G5" s="2213"/>
      <c r="H5" s="2213"/>
      <c r="I5" s="2213"/>
      <c r="J5" s="2213"/>
      <c r="K5" s="2213"/>
      <c r="L5" s="701"/>
      <c r="M5" s="360"/>
      <c r="N5" s="613"/>
      <c r="O5" s="613"/>
      <c r="P5" s="613"/>
      <c r="Q5" s="339"/>
      <c r="R5" s="613"/>
      <c r="S5" s="338"/>
      <c r="T5" s="338"/>
      <c r="U5" s="338"/>
      <c r="V5" s="338"/>
      <c r="IW5" s="620">
        <v>26</v>
      </c>
    </row>
    <row s="5483"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83" customFormat="1" customHeight="1" ht="14.699999999999998">
      <c r="A7" s="1268"/>
      <c r="B7" s="1273"/>
      <c r="C7" s="1268"/>
      <c r="D7" s="1608"/>
      <c r="E7" s="2214" t="s">
        <v>393</v>
      </c>
      <c r="F7" s="2215"/>
      <c r="G7" s="2215"/>
      <c r="H7" s="2215"/>
      <c r="I7" s="2215"/>
      <c r="J7" s="2215"/>
      <c r="K7" s="2215"/>
      <c r="L7" s="2587" t="s">
        <v>394</v>
      </c>
      <c r="M7" s="613"/>
      <c r="N7" s="613"/>
      <c r="O7" s="613"/>
      <c r="P7" s="613"/>
      <c r="Q7" s="339"/>
      <c r="R7" s="613"/>
      <c r="S7" s="338"/>
      <c r="T7" s="338"/>
      <c r="U7" s="338"/>
      <c r="V7" s="338"/>
      <c r="IW7" s="620">
        <v>14</v>
      </c>
    </row>
    <row s="5483"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483" customFormat="1" customHeight="1" ht="29.25">
      <c r="A9" s="1268"/>
      <c r="B9" s="1273"/>
      <c r="C9" s="1268"/>
      <c r="D9" s="1608"/>
      <c r="E9" s="2592"/>
      <c r="F9" s="2592"/>
      <c r="G9" s="1650" t="s">
        <v>1970</v>
      </c>
      <c r="H9" s="1650" t="s">
        <v>1971</v>
      </c>
      <c r="I9" s="1650" t="s">
        <v>1972</v>
      </c>
      <c r="J9" s="2592"/>
      <c r="K9" s="2592"/>
      <c r="L9" s="2588"/>
      <c r="M9" s="613"/>
      <c r="N9" s="613"/>
      <c r="O9" s="613"/>
      <c r="P9" s="613"/>
      <c r="Q9" s="339"/>
      <c r="R9" s="613"/>
      <c r="S9" s="338"/>
      <c r="T9" s="338"/>
      <c r="U9" s="338"/>
      <c r="V9" s="338"/>
      <c r="IW9" s="620">
        <v>28</v>
      </c>
    </row>
    <row s="5528" customFormat="1" customHeight="1" ht="23.25">
      <c r="A10" s="2212"/>
      <c r="B10" s="1273">
        <v>1</v>
      </c>
      <c r="C10" s="1273"/>
      <c r="D10" s="913"/>
      <c r="E10" s="911">
        <v>1</v>
      </c>
      <c r="F10" s="1652" t="str">
        <f>IF(ROIV_INFO_NAME="","",ROIV_INFO_NAME)</f>
        <v>КГУП "Примтеплоэнерго"</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28" customFormat="1" customHeight="1" ht="15.75">
      <c r="A11" s="2212"/>
      <c r="B11" s="1273"/>
      <c r="C11" s="525"/>
      <c r="D11" s="914"/>
      <c r="E11" s="534"/>
      <c r="F11" s="529" t="s">
        <v>1973</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83"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83"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83"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34187-3896-7DC2-08BF-AEE701CB6E6A}" mc:Ignorable="x14ac xr xr2 xr3">
  <dimension ref="A1:IW15"/>
  <sheetViews>
    <sheetView topLeftCell="A1" showGridLines="0" zoomScale="90" workbookViewId="0">
      <selection activeCell="A1" sqref="A1"/>
    </sheetView>
  </sheetViews>
  <sheetFormatPr defaultColWidth="9.140625" customHeight="1" defaultRowHeight="14.25"/>
  <cols>
    <col min="1" max="1" style="5387" width="9.140625" hidden="1"/>
    <col min="2" max="2" style="5467" width="9.140625" hidden="1"/>
    <col min="3" max="3" style="5387" width="3.7109375" hidden="1" customWidth="1"/>
    <col min="4" max="4" style="5566" width="3.00390625" customWidth="1"/>
    <col min="5" max="5" style="5387" width="6.00390625" customWidth="1"/>
    <col min="6" max="6" style="5387" width="27.00390625" customWidth="1"/>
    <col min="7" max="7" style="5387" width="16.00390625" customWidth="1"/>
    <col min="8" max="8" style="5387" width="12.00390625" customWidth="1"/>
    <col min="9" max="9" style="5387" width="32.00390625" customWidth="1"/>
    <col min="10" max="11" style="5387" width="41.00390625" customWidth="1"/>
    <col min="12" max="12" style="5387" width="89.00390625" customWidth="1"/>
    <col min="13" max="13" style="5567" width="3.00390625" customWidth="1"/>
    <col min="14" max="16" style="5567" width="8.00390625" customWidth="1"/>
    <col min="17" max="17" style="5567" width="25.00390625" customWidth="1"/>
    <col min="18" max="18" style="5567" width="14.00390625" customWidth="1"/>
    <col min="19" max="22" style="5568" width="8.00390625" customWidth="1"/>
    <col min="23" max="256" style="5387" width="8.00390625" customWidth="1"/>
    <col min="257" max="257" style="5387" width="9.140625" hidden="1"/>
  </cols>
  <sheetData>
    <row customHeight="1" ht="22.5" hidden="1">
      <c r="IW1" s="1744" t="s">
        <v>14</v>
      </c>
    </row>
    <row s="5528" customFormat="1" customHeight="1" ht="22.5" hidden="1">
      <c r="A2" s="944"/>
      <c r="B2" s="1479">
        <v>1</v>
      </c>
      <c r="C2" s="1479"/>
      <c r="D2" s="2041" t="s">
        <v>104</v>
      </c>
      <c r="E2" s="2017"/>
      <c r="F2" s="2019" t="str">
        <f>IF(ROIV_INFO_NAME="","",ROIV_INFO_NAME)</f>
        <v>КГУП "Примтеплоэнерго"</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68"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83"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83"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13"/>
      <c r="G5" s="2213"/>
      <c r="H5" s="2213"/>
      <c r="I5" s="2213"/>
      <c r="J5" s="2213"/>
      <c r="K5" s="2213"/>
      <c r="L5" s="1748"/>
      <c r="M5" s="361"/>
      <c r="N5" s="1737"/>
      <c r="O5" s="1737"/>
      <c r="P5" s="1737"/>
      <c r="Q5" s="1737"/>
      <c r="R5" s="1737"/>
      <c r="S5" s="338"/>
      <c r="T5" s="338"/>
      <c r="U5" s="338"/>
      <c r="V5" s="338"/>
      <c r="IW5" s="1722">
        <v>26</v>
      </c>
    </row>
    <row s="5483"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83" customFormat="1" customHeight="1" ht="14.699999999999998">
      <c r="A7" s="1744"/>
      <c r="B7" s="1479"/>
      <c r="C7" s="1744"/>
      <c r="D7" s="1628"/>
      <c r="E7" s="2214" t="s">
        <v>393</v>
      </c>
      <c r="F7" s="2215"/>
      <c r="G7" s="2215"/>
      <c r="H7" s="2215"/>
      <c r="I7" s="2215"/>
      <c r="J7" s="2215"/>
      <c r="K7" s="2215"/>
      <c r="L7" s="2587" t="s">
        <v>394</v>
      </c>
      <c r="M7" s="1737"/>
      <c r="N7" s="1737"/>
      <c r="O7" s="1737"/>
      <c r="P7" s="1737"/>
      <c r="Q7" s="1737"/>
      <c r="R7" s="1737"/>
      <c r="S7" s="338"/>
      <c r="T7" s="338"/>
      <c r="U7" s="338"/>
      <c r="V7" s="338"/>
      <c r="IW7" s="1722">
        <v>14</v>
      </c>
    </row>
    <row s="5483" customFormat="1" customHeight="1" ht="67.2">
      <c r="A8" s="1744"/>
      <c r="B8" s="1479"/>
      <c r="C8" s="1744"/>
      <c r="D8" s="1628"/>
      <c r="E8" s="2591" t="s">
        <v>88</v>
      </c>
      <c r="F8" s="2591" t="s">
        <v>1974</v>
      </c>
      <c r="G8" s="2593" t="s">
        <v>1975</v>
      </c>
      <c r="H8" s="2594"/>
      <c r="I8" s="2595"/>
      <c r="J8" s="2591" t="s">
        <v>1976</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483" customFormat="1" customHeight="1" ht="29.25">
      <c r="A9" s="1744"/>
      <c r="B9" s="1479"/>
      <c r="C9" s="1744"/>
      <c r="D9" s="1628"/>
      <c r="E9" s="2592"/>
      <c r="F9" s="2592"/>
      <c r="G9" s="2007" t="s">
        <v>1970</v>
      </c>
      <c r="H9" s="2007" t="s">
        <v>1971</v>
      </c>
      <c r="I9" s="2007" t="s">
        <v>1972</v>
      </c>
      <c r="J9" s="2592"/>
      <c r="K9" s="2592"/>
      <c r="L9" s="2588"/>
      <c r="M9" s="1737"/>
      <c r="N9" s="1737"/>
      <c r="O9" s="1737"/>
      <c r="P9" s="1737"/>
      <c r="Q9" s="1737"/>
      <c r="R9" s="1737"/>
      <c r="S9" s="338"/>
      <c r="T9" s="338"/>
      <c r="U9" s="338"/>
      <c r="V9" s="338"/>
      <c r="IW9" s="1722">
        <v>28</v>
      </c>
    </row>
    <row s="5528" customFormat="1" customHeight="1" ht="1.05">
      <c r="A10" s="2212"/>
      <c r="B10" s="1479">
        <v>1</v>
      </c>
      <c r="C10" s="1479"/>
      <c r="D10" s="913"/>
      <c r="E10" s="908">
        <v>0</v>
      </c>
      <c r="F10" s="2004" t="str">
        <f>IF(ROIV_INFO_NAME="","",ROIV_INFO_NAME)</f>
        <v>КГУП "Примтеплоэнерго"</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28" customFormat="1" customHeight="1" ht="15.75">
      <c r="A11" s="2212"/>
      <c r="B11" s="1479"/>
      <c r="C11" s="525"/>
      <c r="D11" s="914"/>
      <c r="E11" s="534"/>
      <c r="F11" s="764" t="s">
        <v>1973</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83"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83"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83"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D1C89-454A-87E2-B0F3-19FC9ADF7CED}" mc:Ignorable="x14ac xr xr2 xr3">
  <dimension ref="A1:Q19"/>
  <sheetViews>
    <sheetView topLeftCell="A1" showGridLines="0" zoomScale="90" workbookViewId="0">
      <selection activeCell="A1" sqref="A1"/>
    </sheetView>
  </sheetViews>
  <sheetFormatPr defaultColWidth="9.140625" customHeight="1" defaultRowHeight="14.25"/>
  <cols>
    <col min="1" max="1" style="5387" width="9.140625" hidden="1"/>
    <col min="2" max="2" style="5467" width="9.140625" hidden="1"/>
    <col min="3" max="3" style="5387" width="3.7109375" hidden="1" customWidth="1"/>
    <col min="4" max="4" style="5566" width="3.00390625" customWidth="1"/>
    <col min="5" max="5" style="5387" width="6.00390625" customWidth="1"/>
    <col min="6" max="6" style="5387" width="27.00390625" customWidth="1"/>
    <col min="7" max="7" style="5387" width="29.00390625" customWidth="1"/>
    <col min="8" max="8" style="5387" width="25.00390625" customWidth="1"/>
    <col min="9" max="9" style="5387" width="5.00390625" customWidth="1"/>
    <col min="10" max="10" style="5387" width="6.00390625" customWidth="1"/>
    <col min="11" max="11" style="5387" width="41.00390625" customWidth="1"/>
    <col min="12" max="12" style="5387" width="42.00390625" customWidth="1"/>
    <col min="13" max="13" style="5387" width="41.00390625" customWidth="1"/>
    <col min="14" max="14" style="5387" width="89.00390625" customWidth="1"/>
    <col min="15" max="15" style="5567" width="3.00390625" customWidth="1"/>
    <col min="16" max="16" style="5567" width="8.00390625" customWidth="1"/>
    <col min="17" max="17" style="5387" width="9.140625" hidden="1"/>
  </cols>
  <sheetData>
    <row customHeight="1" ht="22.5" hidden="1">
      <c r="Q1" s="1268" t="s">
        <v>14</v>
      </c>
    </row>
    <row s="5528" customFormat="1" customHeight="1" ht="22.5" hidden="1">
      <c r="A2" s="609"/>
      <c r="B2" s="1273">
        <v>1</v>
      </c>
      <c r="C2" s="1273"/>
      <c r="D2" s="2041" t="s">
        <v>104</v>
      </c>
      <c r="E2" s="2240">
        <v>1</v>
      </c>
      <c r="F2" s="2416" t="str">
        <f>IF(region_name="","",region_name)</f>
        <v>Приморский край</v>
      </c>
      <c r="G2" s="2596"/>
      <c r="H2" s="2597"/>
      <c r="I2" s="587"/>
      <c r="J2" s="2023">
        <v>1</v>
      </c>
      <c r="K2" s="2025"/>
      <c r="L2" s="2025"/>
      <c r="M2" s="2025"/>
      <c r="N2" s="605"/>
      <c r="O2" s="1648"/>
      <c r="P2" s="624"/>
      <c r="Q2" s="536">
        <v>0</v>
      </c>
    </row>
    <row s="5528" customFormat="1" customHeight="1" ht="22.5" hidden="1">
      <c r="A3" s="944"/>
      <c r="B3" s="1273"/>
      <c r="C3" s="1273"/>
      <c r="D3" s="914"/>
      <c r="E3" s="2240"/>
      <c r="F3" s="2416"/>
      <c r="G3" s="2596"/>
      <c r="H3" s="2598"/>
      <c r="I3" s="534"/>
      <c r="J3" s="1613"/>
      <c r="K3" s="1613" t="s">
        <v>1977</v>
      </c>
      <c r="L3" s="1656"/>
      <c r="M3" s="2033"/>
      <c r="N3" s="2026"/>
      <c r="O3" s="1648"/>
      <c r="P3" s="624"/>
      <c r="Q3" s="536">
        <v>0</v>
      </c>
    </row>
    <row s="5468" customFormat="1" customHeight="1" ht="5.25" hidden="1">
      <c r="A4" s="609"/>
      <c r="D4" s="607"/>
      <c r="F4" s="360" t="s">
        <v>83</v>
      </c>
      <c r="G4" s="607" t="s">
        <v>84</v>
      </c>
      <c r="H4" s="607"/>
      <c r="I4" s="2036"/>
      <c r="J4" s="1657"/>
      <c r="K4" s="2024"/>
      <c r="L4" s="2024"/>
      <c r="M4" s="2024"/>
      <c r="N4" s="2020"/>
      <c r="O4" s="360" t="s">
        <v>83</v>
      </c>
      <c r="P4" s="360"/>
      <c r="Q4" s="624">
        <v>0</v>
      </c>
    </row>
    <row s="5528" customFormat="1" customHeight="1" ht="22.5" hidden="1">
      <c r="A5" s="1754"/>
      <c r="B5" s="1479">
        <v>1</v>
      </c>
      <c r="C5" s="1479"/>
      <c r="D5" s="914"/>
      <c r="E5" s="2026"/>
      <c r="F5" s="2026"/>
      <c r="G5" s="2026"/>
      <c r="H5" s="2037"/>
      <c r="I5" s="2042" t="s">
        <v>104</v>
      </c>
      <c r="J5" s="2035">
        <v>1</v>
      </c>
      <c r="K5" s="2025"/>
      <c r="L5" s="2025"/>
      <c r="M5" s="2025"/>
      <c r="N5" s="605"/>
      <c r="O5" s="1648"/>
      <c r="P5" s="1749"/>
      <c r="Q5" s="737">
        <v>0</v>
      </c>
    </row>
    <row s="5483" customFormat="1" customHeight="1" ht="14.699999999999998">
      <c r="A6" s="1268"/>
      <c r="B6" s="1273"/>
      <c r="C6" s="1268"/>
      <c r="D6" s="1608"/>
      <c r="E6" s="622"/>
      <c r="F6" s="622"/>
      <c r="G6" s="622"/>
      <c r="H6" s="622"/>
      <c r="I6" s="622"/>
      <c r="J6" s="622"/>
      <c r="K6" s="622"/>
      <c r="L6" s="622"/>
      <c r="M6" s="622"/>
      <c r="N6" s="1748"/>
      <c r="O6" s="360"/>
      <c r="P6" s="613"/>
      <c r="Q6" s="620">
        <v>14</v>
      </c>
    </row>
    <row s="5483"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83" customFormat="1" customHeight="1" ht="14.699999999999998">
      <c r="A8" s="1268"/>
      <c r="B8" s="1273"/>
      <c r="C8" s="1268"/>
      <c r="D8" s="1608"/>
      <c r="E8" s="622"/>
      <c r="F8" s="280"/>
      <c r="G8" s="280"/>
      <c r="H8" s="280"/>
      <c r="I8" s="280"/>
      <c r="J8" s="280"/>
      <c r="K8" s="280"/>
      <c r="L8" s="280"/>
      <c r="M8" s="280"/>
      <c r="N8" s="729"/>
      <c r="O8" s="613"/>
      <c r="P8" s="613"/>
      <c r="Q8" s="620">
        <v>14</v>
      </c>
    </row>
    <row s="9892" customFormat="1" customHeight="1" ht="14.25" hidden="1">
      <c r="A9" s="1581"/>
      <c r="B9" s="1591"/>
      <c r="C9" s="1581"/>
      <c r="D9" s="1608"/>
      <c r="E9" s="2027"/>
      <c r="F9" s="2027"/>
      <c r="G9" s="2027"/>
      <c r="H9" s="2027"/>
      <c r="I9" s="2606"/>
      <c r="J9" s="2606"/>
      <c r="K9" s="2606"/>
      <c r="L9" s="2027"/>
      <c r="M9" s="2028"/>
      <c r="O9" s="1658"/>
      <c r="P9" s="1658"/>
      <c r="Q9" s="1659">
        <v>0</v>
      </c>
    </row>
    <row s="5483" customFormat="1" customHeight="1" ht="14.699999999999998">
      <c r="A10" s="1268"/>
      <c r="B10" s="1273"/>
      <c r="C10" s="1268"/>
      <c r="D10" s="1608"/>
      <c r="E10" s="2240" t="s">
        <v>393</v>
      </c>
      <c r="F10" s="2240"/>
      <c r="G10" s="2240"/>
      <c r="H10" s="2240"/>
      <c r="I10" s="2240"/>
      <c r="J10" s="2240"/>
      <c r="K10" s="2240"/>
      <c r="L10" s="2240"/>
      <c r="M10" s="2214"/>
      <c r="N10" s="2591" t="s">
        <v>394</v>
      </c>
      <c r="O10" s="613"/>
      <c r="P10" s="613"/>
      <c r="Q10" s="620">
        <v>14</v>
      </c>
    </row>
    <row s="5483" customFormat="1" customHeight="1" ht="44.25">
      <c r="A11" s="1744"/>
      <c r="B11" s="1479"/>
      <c r="C11" s="1744"/>
      <c r="D11" s="1628"/>
      <c r="E11" s="2605" t="s">
        <v>88</v>
      </c>
      <c r="F11" s="2605" t="s">
        <v>397</v>
      </c>
      <c r="G11" s="2605" t="s">
        <v>1978</v>
      </c>
      <c r="H11" s="2605"/>
      <c r="I11" s="2605" t="s">
        <v>1979</v>
      </c>
      <c r="J11" s="2605"/>
      <c r="K11" s="2605"/>
      <c r="L11" s="2605" t="s">
        <v>1980</v>
      </c>
      <c r="M11" s="2593" t="s">
        <v>1981</v>
      </c>
      <c r="N11" s="2604"/>
      <c r="O11" s="1737"/>
      <c r="P11" s="1737"/>
      <c r="Q11" s="1722">
        <v>42</v>
      </c>
    </row>
    <row s="5483" customFormat="1" customHeight="1" ht="29.25">
      <c r="A12" s="1268"/>
      <c r="B12" s="1273"/>
      <c r="C12" s="1268"/>
      <c r="D12" s="1608"/>
      <c r="E12" s="2591"/>
      <c r="F12" s="2605"/>
      <c r="G12" s="2022" t="s">
        <v>1982</v>
      </c>
      <c r="H12" s="2022" t="s">
        <v>401</v>
      </c>
      <c r="I12" s="2605"/>
      <c r="J12" s="2605"/>
      <c r="K12" s="2605"/>
      <c r="L12" s="2605"/>
      <c r="M12" s="2593"/>
      <c r="N12" s="2592"/>
      <c r="O12" s="613"/>
      <c r="P12" s="613"/>
      <c r="Q12" s="620">
        <v>28</v>
      </c>
    </row>
    <row s="5528" customFormat="1" customHeight="1" ht="23.25">
      <c r="A13" s="2212">
        <v>26379339</v>
      </c>
      <c r="B13" s="1273">
        <v>1</v>
      </c>
      <c r="C13" s="1273"/>
      <c r="D13" s="914"/>
      <c r="E13" s="2240">
        <v>1</v>
      </c>
      <c r="F13" s="2599" t="str">
        <f>IF(region_name="","",region_name)</f>
        <v>Приморский край</v>
      </c>
      <c r="G13" s="2600"/>
      <c r="H13" s="2607"/>
      <c r="I13" s="587"/>
      <c r="J13" s="2018">
        <v>1</v>
      </c>
      <c r="K13" s="2031"/>
      <c r="L13" s="2032"/>
      <c r="M13" s="2032"/>
      <c r="N13" s="2601" t="s">
        <v>1983</v>
      </c>
      <c r="O13" s="1648"/>
      <c r="P13" s="624"/>
      <c r="Q13" s="536">
        <v>22</v>
      </c>
    </row>
    <row s="5528" customFormat="1" customHeight="1" ht="23.25">
      <c r="A14" s="2212"/>
      <c r="B14" s="1273"/>
      <c r="C14" s="1273"/>
      <c r="D14" s="914"/>
      <c r="E14" s="2240"/>
      <c r="F14" s="2599"/>
      <c r="G14" s="2600"/>
      <c r="H14" s="2608"/>
      <c r="I14" s="534"/>
      <c r="J14" s="1613"/>
      <c r="K14" s="1613" t="s">
        <v>1977</v>
      </c>
      <c r="L14" s="1656"/>
      <c r="M14" s="1656"/>
      <c r="N14" s="2602"/>
      <c r="O14" s="1648"/>
      <c r="P14" s="624"/>
      <c r="Q14" s="536">
        <v>22</v>
      </c>
    </row>
    <row s="5528" customFormat="1" customHeight="1" ht="23.25">
      <c r="A15" s="2212"/>
      <c r="B15" s="1273"/>
      <c r="C15" s="525"/>
      <c r="D15" s="914"/>
      <c r="E15" s="534"/>
      <c r="F15" s="1613" t="s">
        <v>1969</v>
      </c>
      <c r="G15" s="1655"/>
      <c r="H15" s="1655"/>
      <c r="I15" s="300"/>
      <c r="J15" s="300"/>
      <c r="K15" s="300"/>
      <c r="L15" s="300"/>
      <c r="M15" s="300"/>
      <c r="N15" s="2602"/>
      <c r="O15" s="1649"/>
      <c r="P15" s="624"/>
      <c r="Q15" s="536">
        <v>22</v>
      </c>
    </row>
    <row s="5483" customFormat="1" customHeight="1" ht="22.049999999999997">
      <c r="A16" s="1268"/>
      <c r="B16" s="1273"/>
      <c r="C16" s="1268"/>
      <c r="D16" s="564"/>
      <c r="E16" s="293"/>
      <c r="F16" s="293"/>
      <c r="G16" s="293"/>
      <c r="H16" s="293"/>
      <c r="I16" s="293"/>
      <c r="J16" s="293"/>
      <c r="K16" s="293"/>
      <c r="L16" s="293"/>
      <c r="M16" s="622"/>
      <c r="N16" s="1748"/>
      <c r="O16" s="613"/>
      <c r="P16" s="613"/>
      <c r="Q16" s="620">
        <v>21</v>
      </c>
    </row>
    <row s="5483"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83"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AE1B3-75D6-5386-D6FB-56F368430BF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941" width="9.140625" hidden="1"/>
    <col min="2" max="2" style="9640" width="9.140625" hidden="1"/>
    <col min="3" max="3" style="9932" width="3.00390625" customWidth="1"/>
    <col min="4" max="4" style="9640" width="6.00390625" customWidth="1"/>
    <col min="5" max="5" style="9640" width="22.00390625" customWidth="1"/>
    <col min="6" max="6" style="9640" width="15.00390625" customWidth="1"/>
    <col min="7" max="7" style="9640" width="14.00390625" customWidth="1"/>
    <col min="8" max="8" style="9640" width="47.00390625" customWidth="1"/>
    <col min="9" max="9" style="9640" width="115.00390625" customWidth="1"/>
    <col min="10" max="10" style="9640" width="3.00390625" customWidth="1"/>
    <col min="11" max="12" style="9640" width="8.00390625" customWidth="1"/>
    <col min="13" max="13" style="9640" width="9.140625" hidden="1"/>
  </cols>
  <sheetData>
    <row customHeight="1" ht="14.25" hidden="1">
      <c r="M1" s="234" t="s">
        <v>14</v>
      </c>
    </row>
    <row customHeight="1" ht="14.25" hidden="1">
      <c r="M2" s="234">
        <v>0</v>
      </c>
    </row>
    <row customHeight="1" ht="14.25" hidden="1">
      <c r="M3" s="234">
        <v>0</v>
      </c>
    </row>
    <row customHeight="1" ht="3">
      <c r="M4" s="234">
        <v>3</v>
      </c>
    </row>
    <row s="5387" customFormat="1" customHeight="1" ht="31.5">
      <c r="A5" s="228"/>
      <c r="C5" s="203"/>
      <c r="D5" s="2213" t="s">
        <v>1984</v>
      </c>
      <c r="E5" s="2213"/>
      <c r="F5" s="2213"/>
      <c r="G5" s="2213"/>
      <c r="H5" s="2213"/>
      <c r="I5" s="378"/>
      <c r="M5" s="196">
        <v>30</v>
      </c>
    </row>
    <row customHeight="1" ht="3" hidden="1">
      <c r="D6" s="235"/>
      <c r="E6" s="235"/>
      <c r="F6" s="235"/>
      <c r="G6" s="235"/>
      <c r="H6" s="235"/>
      <c r="I6" s="235"/>
      <c r="M6" s="234">
        <v>0</v>
      </c>
    </row>
    <row s="5941" customFormat="1" customHeight="1" ht="14.699999999999998">
      <c r="B7" s="232"/>
      <c r="C7" s="233"/>
      <c r="D7" s="236"/>
      <c r="E7" s="236"/>
      <c r="F7" s="236"/>
      <c r="G7" s="236"/>
      <c r="H7" s="865"/>
      <c r="I7" s="236"/>
      <c r="J7" s="237"/>
      <c r="M7" s="231">
        <v>14</v>
      </c>
    </row>
    <row customHeight="1" ht="14.699999999999998">
      <c r="D8" s="2322" t="s">
        <v>393</v>
      </c>
      <c r="E8" s="2322"/>
      <c r="F8" s="2322"/>
      <c r="G8" s="2322"/>
      <c r="H8" s="2322"/>
      <c r="I8" s="2322" t="s">
        <v>394</v>
      </c>
      <c r="M8" s="234">
        <v>14</v>
      </c>
    </row>
    <row customHeight="1" ht="29.25">
      <c r="D9" s="2322" t="s">
        <v>88</v>
      </c>
      <c r="E9" s="2322" t="s">
        <v>1985</v>
      </c>
      <c r="F9" s="2322"/>
      <c r="G9" s="2322"/>
      <c r="H9" s="2322"/>
      <c r="I9" s="2322"/>
      <c r="M9" s="234">
        <v>28</v>
      </c>
    </row>
    <row customHeight="1" ht="24">
      <c r="D10" s="2322"/>
      <c r="E10" s="240" t="s">
        <v>1986</v>
      </c>
      <c r="F10" s="240" t="s">
        <v>1987</v>
      </c>
      <c r="G10" s="240" t="s">
        <v>1988</v>
      </c>
      <c r="H10" s="240" t="s">
        <v>483</v>
      </c>
      <c r="I10" s="2322"/>
      <c r="M10" s="234">
        <v>23</v>
      </c>
    </row>
    <row customHeight="1" ht="12" hidden="1">
      <c r="D11" s="200" t="s">
        <v>136</v>
      </c>
      <c r="E11" s="200" t="s">
        <v>91</v>
      </c>
      <c r="F11" s="200" t="s">
        <v>116</v>
      </c>
      <c r="G11" s="200" t="s">
        <v>92</v>
      </c>
      <c r="H11" s="200" t="s">
        <v>93</v>
      </c>
      <c r="I11" s="200" t="s">
        <v>129</v>
      </c>
      <c r="M11" s="234">
        <v>0</v>
      </c>
    </row>
    <row s="9640" customFormat="1" customHeight="1" ht="26.25">
      <c r="A12" s="258" t="s">
        <v>90</v>
      </c>
      <c r="B12" s="238" t="s">
        <v>28</v>
      </c>
      <c r="C12" s="239"/>
      <c r="D12" s="241" t="s">
        <v>136</v>
      </c>
      <c r="E12" s="494"/>
      <c r="F12" s="494"/>
      <c r="G12" s="1847" t="s">
        <v>28</v>
      </c>
      <c r="H12" s="495"/>
      <c r="I12" s="2282" t="s">
        <v>1989</v>
      </c>
      <c r="K12" s="385"/>
      <c r="L12" s="386"/>
      <c r="M12" s="230">
        <v>25</v>
      </c>
    </row>
    <row customHeight="1" ht="15.75">
      <c r="A13" s="234"/>
      <c r="B13" s="234"/>
      <c r="C13" s="234"/>
      <c r="D13" s="222"/>
      <c r="E13" s="243" t="s">
        <v>558</v>
      </c>
      <c r="F13" s="242"/>
      <c r="G13" s="242"/>
      <c r="H13" s="327"/>
      <c r="I13" s="2284"/>
      <c r="M13" s="234">
        <v>15</v>
      </c>
    </row>
    <row customHeight="1" ht="3">
      <c r="A14" s="234"/>
      <c r="B14" s="234"/>
      <c r="C14" s="234"/>
      <c r="M14" s="234">
        <v>3</v>
      </c>
    </row>
    <row customHeight="1" ht="29.25">
      <c r="E15" s="2609" t="s">
        <v>1990</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4EF8B-2C17-FEA8-B164-4731EB68C853}" mc:Ignorable="x14ac xr xr2 xr3">
  <sheetPr>
    <tabColor rgb="FFCCCCFF"/>
    <pageSetUpPr fitToPage="1"/>
  </sheetPr>
  <dimension ref="A1:J16"/>
  <sheetViews>
    <sheetView topLeftCell="C6" showGridLines="0" zoomScale="90" workbookViewId="0" tabSelected="1">
      <selection activeCell="E12" sqref="E12"/>
    </sheetView>
  </sheetViews>
  <sheetFormatPr defaultColWidth="9.140625" customHeight="1" defaultRowHeight="14.25"/>
  <cols>
    <col min="1" max="2" style="9951" width="9.140625" hidden="1"/>
    <col min="3" max="3" style="9952" width="3.00390625" customWidth="1"/>
    <col min="4" max="4" style="9951" width="6.00390625" customWidth="1"/>
    <col min="5" max="5" style="9951" width="94.00390625" customWidth="1"/>
    <col min="6" max="9" style="9951" width="8.00390625" customWidth="1"/>
    <col min="10" max="10" style="9951"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1991</v>
      </c>
      <c r="E7" s="2611"/>
      <c r="F7" s="380"/>
      <c r="J7" s="182">
        <v>22</v>
      </c>
    </row>
    <row customHeight="1" ht="3">
      <c r="C8" s="205"/>
      <c r="D8" s="183"/>
      <c r="E8" s="183"/>
      <c r="J8" s="182">
        <v>3</v>
      </c>
    </row>
    <row customHeight="1" ht="16.8">
      <c r="C9" s="205"/>
      <c r="D9" s="218" t="s">
        <v>88</v>
      </c>
      <c r="E9" s="373" t="s">
        <v>1992</v>
      </c>
      <c r="J9" s="182">
        <v>16</v>
      </c>
    </row>
    <row customHeight="1" ht="1.05">
      <c r="C10" s="205"/>
      <c r="D10" s="200"/>
      <c r="E10" s="200"/>
      <c r="J10" s="182">
        <v>1</v>
      </c>
    </row>
    <row customHeight="1" ht="11.25" hidden="1">
      <c r="C11" s="205"/>
      <c r="D11" s="263">
        <v>0</v>
      </c>
      <c r="E11" s="374"/>
      <c r="J11" s="182">
        <v>0</v>
      </c>
    </row>
    <row customHeight="1" ht="15.75">
      <c r="C12" s="249"/>
      <c r="D12" s="226">
        <v>1</v>
      </c>
      <c r="E12" s="490" t="s">
        <v>1993</v>
      </c>
      <c r="J12" s="182">
        <v>15</v>
      </c>
    </row>
    <row customHeight="1" ht="12.75">
      <c r="C13" s="205"/>
      <c r="D13" s="375"/>
      <c r="E13" s="376" t="s">
        <v>1994</v>
      </c>
      <c r="J13" s="182">
        <v>12</v>
      </c>
    </row>
    <row customHeight="1" ht="3">
      <c r="J14" s="182">
        <v>3</v>
      </c>
    </row>
    <row customHeight="1" ht="23.25">
      <c r="C15" s="250"/>
      <c r="D15" s="2612" t="s">
        <v>1995</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CC57D-8B47-A4C7-1EE9-20C0D392A2D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9951" width="9.140625" hidden="1"/>
    <col min="3" max="3" style="9952" width="3.00390625" customWidth="1"/>
    <col min="4" max="4" style="9951" width="6.00390625" customWidth="1"/>
    <col min="5" max="5" style="9951" width="94.00390625" customWidth="1"/>
    <col min="6" max="12" style="9951" width="8.00390625" customWidth="1"/>
    <col min="13" max="13" style="9951"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1996</v>
      </c>
      <c r="E7" s="2213"/>
      <c r="F7" s="380"/>
      <c r="M7" s="182">
        <v>22</v>
      </c>
    </row>
    <row customHeight="1" ht="3">
      <c r="C8" s="205"/>
      <c r="D8" s="183"/>
      <c r="E8" s="183"/>
      <c r="M8" s="182">
        <v>3</v>
      </c>
    </row>
    <row customHeight="1" ht="16.8">
      <c r="C9" s="205"/>
      <c r="D9" s="218" t="s">
        <v>88</v>
      </c>
      <c r="E9" s="221" t="s">
        <v>380</v>
      </c>
      <c r="M9" s="182">
        <v>16</v>
      </c>
    </row>
    <row customHeight="1" ht="12.75">
      <c r="C10" s="205"/>
      <c r="D10" s="200" t="s">
        <v>136</v>
      </c>
      <c r="E10" s="200" t="s">
        <v>103</v>
      </c>
      <c r="M10" s="182">
        <v>12</v>
      </c>
    </row>
    <row customHeight="1" ht="15" hidden="1">
      <c r="C11" s="205"/>
      <c r="D11" s="226">
        <v>0</v>
      </c>
      <c r="E11" s="262"/>
      <c r="M11" s="182">
        <v>0</v>
      </c>
    </row>
    <row customHeight="1" ht="14.699999999999998">
      <c r="C12" s="205"/>
      <c r="D12" s="222"/>
      <c r="E12" s="220" t="s">
        <v>1994</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89592-19B7-8E1E-09A6-6D626D7F219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28" width="1.7109375" customWidth="1"/>
    <col min="2" max="2" style="5528" width="34.57421875" customWidth="1"/>
    <col min="3" max="3" style="5528" width="85.00390625" customWidth="1"/>
    <col min="4" max="4" style="5528" width="17.00390625" customWidth="1"/>
    <col min="5" max="5" style="5528" width="8.00390625" customWidth="1"/>
    <col min="6" max="6" style="5528" width="9.140625" hidden="1"/>
  </cols>
  <sheetData>
    <row customHeight="1" ht="3">
      <c r="F1" s="202" t="s">
        <v>14</v>
      </c>
    </row>
    <row customHeight="1" ht="22.5">
      <c r="B2" s="2726" t="s">
        <v>1997</v>
      </c>
      <c r="C2" s="2613"/>
      <c r="D2" s="2613"/>
      <c r="E2" s="381"/>
      <c r="F2" s="202">
        <v>22</v>
      </c>
    </row>
    <row customHeight="1" ht="3">
      <c r="F3" s="202">
        <v>3</v>
      </c>
    </row>
    <row customHeight="1" ht="23.25">
      <c r="B4" s="2727" t="s">
        <v>1998</v>
      </c>
      <c r="C4" s="496" t="s">
        <v>1999</v>
      </c>
      <c r="D4" s="496" t="s">
        <v>2000</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DDFEE-A636-C0EB-7FFE-14A46E7BBFB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28" width="26.57421875" customWidth="1"/>
    <col min="2" max="2" style="5528" width="10.00390625" customWidth="1"/>
    <col min="3" max="3" style="5528" width="9.140625"/>
    <col min="4" max="4" style="5528" width="11.140625" customWidth="1"/>
    <col min="5" max="5" style="5528" width="16.57421875" customWidth="1"/>
    <col min="6" max="6" style="5528" width="16.28125" customWidth="1"/>
    <col min="7" max="7" style="5528" width="19.140625" customWidth="1"/>
    <col min="8" max="11" style="5528" width="10.00390625" customWidth="1"/>
    <col min="12" max="12" style="5528" width="12.7109375" customWidth="1"/>
    <col min="13" max="13" style="5528" width="61.28125" customWidth="1"/>
    <col min="14" max="14" style="5528" width="10.00390625" customWidth="1"/>
    <col min="15" max="17" style="5528" width="23.7109375" customWidth="1"/>
    <col min="18" max="18" style="5528" width="11.7109375" customWidth="1"/>
    <col min="19" max="19" style="5528" width="8.57421875" customWidth="1"/>
    <col min="20" max="20" style="5528" width="11.7109375" customWidth="1"/>
    <col min="21" max="21" style="5528" width="8.57421875" customWidth="1"/>
    <col min="22" max="22" style="5528" width="4.7109375" customWidth="1"/>
    <col min="23" max="23" style="5528" width="115.7109375" customWidth="1"/>
    <col min="24" max="24" style="5528" width="115.28125" customWidth="1"/>
    <col min="25" max="27" style="5528" width="9.140625"/>
    <col min="28" max="28" style="5528" width="115.7109375" customWidth="1"/>
    <col min="29" max="29" style="5528" width="9.140625"/>
    <col min="30" max="90" style="5528" width="115.7109375" customWidth="1"/>
    <col min="91" max="184" style="5528" width="9.140625"/>
  </cols>
  <sheetData>
    <row r="2" s="9962" customFormat="1" customHeight="1" ht="17.25">
      <c r="A2" s="1928" t="s">
        <v>2001</v>
      </c>
    </row>
    <row r="4" s="9951" customFormat="1" customHeight="1" ht="15">
      <c r="C4" s="1929"/>
      <c r="D4" s="226"/>
      <c r="E4" s="490"/>
    </row>
    <row r="6" s="9962" customFormat="1" customHeight="1" ht="17.25">
      <c r="A6" s="1928" t="s">
        <v>2002</v>
      </c>
    </row>
    <row r="8" s="9951" customFormat="1" customHeight="1" ht="17.25">
      <c r="C8" s="1930"/>
      <c r="D8" s="226"/>
      <c r="E8" s="227"/>
    </row>
    <row r="11" s="9962" customFormat="1" customHeight="1" ht="17.25">
      <c r="A11" s="1928" t="s">
        <v>2003</v>
      </c>
    </row>
    <row r="13" s="5483" customFormat="1" customHeight="1" ht="15">
      <c r="A13" s="2330">
        <v>1</v>
      </c>
      <c r="B13" s="1273"/>
      <c r="C13" s="914" t="s">
        <v>104</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28"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28"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9962" customFormat="1" customHeight="1" ht="17.25">
      <c r="A17" s="1928" t="s">
        <v>2004</v>
      </c>
    </row>
    <row r="19" s="5528" customFormat="1" customHeight="1" ht="15">
      <c r="A19" s="1995"/>
      <c r="B19" s="1479">
        <v>1</v>
      </c>
      <c r="C19" s="1479"/>
      <c r="D19" s="913" t="s">
        <v>104</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28" customFormat="1" customHeight="1" ht="15">
      <c r="A21" s="1928" t="s">
        <v>2005</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28" customFormat="1" customHeight="1" ht="15">
      <c r="U22" s="298"/>
    </row>
    <row s="5604" customFormat="1" customHeight="1" ht="15">
      <c r="A23" s="536"/>
      <c r="B23" s="536"/>
      <c r="C23" s="1841" t="s">
        <v>104</v>
      </c>
      <c r="D23" s="2221" t="s">
        <v>136</v>
      </c>
      <c r="E23" s="2222"/>
      <c r="F23" s="2220" t="s">
        <v>19</v>
      </c>
      <c r="G23" s="2670"/>
      <c r="H23" s="2240">
        <v>1</v>
      </c>
      <c r="I23" s="2672" t="str">
        <f>IF(U23="","",INDEX(TERRITORY_MR_LIST,MATCH(U23,TERRITORY_LIST_ID,0)))</f>
        <v/>
      </c>
      <c r="J23" s="2220" t="s">
        <v>19</v>
      </c>
      <c r="K23" s="945"/>
      <c r="L23" s="1895" t="s">
        <v>136</v>
      </c>
      <c r="M23" s="716"/>
      <c r="N23" s="717"/>
      <c r="O23" s="717"/>
      <c r="P23" s="717"/>
      <c r="Q23" s="717"/>
      <c r="R23" s="717"/>
      <c r="S23" s="717"/>
      <c r="T23" s="717"/>
      <c r="U23" s="718"/>
      <c r="V23" s="717"/>
      <c r="W23" s="717"/>
      <c r="X23" s="708"/>
      <c r="Y23" s="708" t="s">
        <v>150</v>
      </c>
      <c r="Z23" s="708">
        <v>1705000</v>
      </c>
      <c r="AA23" s="708"/>
      <c r="AB23" s="708"/>
      <c r="AC23" s="708"/>
      <c r="AD23" s="708"/>
      <c r="AE23" s="708"/>
      <c r="AF23" s="708"/>
      <c r="AG23" s="708"/>
      <c r="AH23" s="708"/>
      <c r="AI23" s="708"/>
      <c r="AJ23" s="708"/>
      <c r="AK23" s="708"/>
      <c r="AL23" s="708"/>
    </row>
    <row s="5604" customFormat="1" customHeight="1" ht="15">
      <c r="A24" s="536"/>
      <c r="B24" s="536"/>
      <c r="C24" s="289"/>
      <c r="D24" s="2221"/>
      <c r="E24" s="2223"/>
      <c r="F24" s="2220"/>
      <c r="G24" s="2671"/>
      <c r="H24" s="2240"/>
      <c r="I24" s="2673"/>
      <c r="J24" s="2220"/>
      <c r="K24" s="534"/>
      <c r="L24" s="290"/>
      <c r="M24" s="720" t="s">
        <v>151</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04" customFormat="1" customHeight="1" ht="15">
      <c r="A25" s="536"/>
      <c r="B25" s="536"/>
      <c r="C25" s="289"/>
      <c r="D25" s="2221"/>
      <c r="E25" s="2224"/>
      <c r="F25" s="2220"/>
      <c r="G25" s="534"/>
      <c r="H25" s="290"/>
      <c r="I25" s="693" t="s">
        <v>152</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28" customFormat="1" customHeight="1" ht="15">
      <c r="U26" s="298"/>
    </row>
    <row s="5528" customFormat="1" customHeight="1" ht="15">
      <c r="A27" s="1928" t="s">
        <v>2006</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28" customFormat="1" customHeight="1" ht="15">
      <c r="U28" s="298"/>
    </row>
    <row s="5604" customFormat="1" customHeight="1" ht="15">
      <c r="A29" s="536"/>
      <c r="B29" s="536"/>
      <c r="C29" s="289"/>
      <c r="D29" s="1934"/>
      <c r="E29" s="1934"/>
      <c r="F29" s="1934"/>
      <c r="G29" s="2674" t="s">
        <v>104</v>
      </c>
      <c r="H29" s="2216">
        <v>1</v>
      </c>
      <c r="I29" s="2675" t="str">
        <f>IF(U29="","",INDEX(TERRITORY_MR_LIST,MATCH(U29,TERRITORY_LIST_ID,0)))</f>
        <v/>
      </c>
      <c r="J29" s="2220" t="s">
        <v>19</v>
      </c>
      <c r="K29" s="945"/>
      <c r="L29" s="1895" t="s">
        <v>136</v>
      </c>
      <c r="M29" s="716"/>
      <c r="N29" s="717"/>
      <c r="O29" s="717"/>
      <c r="P29" s="717"/>
      <c r="Q29" s="717"/>
      <c r="R29" s="717"/>
      <c r="S29" s="717"/>
      <c r="T29" s="717"/>
      <c r="U29" s="718"/>
      <c r="V29" s="717"/>
      <c r="W29" s="717"/>
      <c r="X29" s="708"/>
      <c r="Y29" s="708" t="s">
        <v>150</v>
      </c>
      <c r="Z29" s="708">
        <v>1705000</v>
      </c>
      <c r="AA29" s="708"/>
      <c r="AB29" s="708"/>
      <c r="AC29" s="708"/>
      <c r="AD29" s="708"/>
      <c r="AE29" s="708"/>
      <c r="AF29" s="708"/>
      <c r="AG29" s="708"/>
      <c r="AH29" s="708"/>
      <c r="AI29" s="708"/>
      <c r="AJ29" s="708"/>
      <c r="AK29" s="708"/>
      <c r="AL29" s="708"/>
    </row>
    <row s="5604" customFormat="1" customHeight="1" ht="15">
      <c r="A30" s="536"/>
      <c r="B30" s="536"/>
      <c r="C30" s="289"/>
      <c r="D30" s="1934"/>
      <c r="E30" s="1934"/>
      <c r="F30" s="1934"/>
      <c r="G30" s="2674"/>
      <c r="H30" s="2216"/>
      <c r="I30" s="2675"/>
      <c r="J30" s="2220"/>
      <c r="K30" s="534"/>
      <c r="L30" s="290"/>
      <c r="M30" s="720" t="s">
        <v>151</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28" customFormat="1" customHeight="1" ht="15">
      <c r="U31" s="298"/>
    </row>
    <row s="5528" customFormat="1" customHeight="1" ht="15">
      <c r="A32" s="1928" t="s">
        <v>2007</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28" customFormat="1" customHeight="1" ht="15">
      <c r="U33" s="298"/>
    </row>
    <row s="5604" customFormat="1" customHeight="1" ht="15">
      <c r="A34" s="536"/>
      <c r="B34" s="536"/>
      <c r="C34" s="289"/>
      <c r="D34" s="1934"/>
      <c r="E34" s="1934"/>
      <c r="F34" s="1934"/>
      <c r="G34" s="1934"/>
      <c r="H34" s="1934"/>
      <c r="I34" s="1934"/>
      <c r="J34" s="1934"/>
      <c r="K34" s="1912" t="s">
        <v>104</v>
      </c>
      <c r="L34" s="1842" t="s">
        <v>136</v>
      </c>
      <c r="M34" s="924"/>
      <c r="N34" s="925"/>
      <c r="O34" s="717"/>
      <c r="P34" s="717"/>
      <c r="Q34" s="717"/>
      <c r="R34" s="717"/>
      <c r="S34" s="717"/>
      <c r="T34" s="717"/>
      <c r="U34" s="718"/>
      <c r="V34" s="717"/>
      <c r="W34" s="717"/>
      <c r="X34" s="708"/>
      <c r="Y34" s="708" t="s">
        <v>150</v>
      </c>
      <c r="Z34" s="708">
        <v>1705000</v>
      </c>
      <c r="AA34" s="708"/>
      <c r="AB34" s="708"/>
      <c r="AC34" s="708"/>
      <c r="AD34" s="708"/>
      <c r="AE34" s="708"/>
      <c r="AF34" s="708"/>
      <c r="AG34" s="708"/>
      <c r="AH34" s="708"/>
      <c r="AI34" s="708"/>
      <c r="AJ34" s="708"/>
      <c r="AK34" s="708"/>
      <c r="AL34" s="708"/>
    </row>
    <row s="5528" customFormat="1" customHeight="1" ht="15">
      <c r="U35" s="298"/>
    </row>
    <row s="5528" customFormat="1" customHeight="1" ht="15">
      <c r="U36" s="298"/>
    </row>
    <row s="9962" customFormat="1" customHeight="1" ht="11.25">
      <c r="A37" s="1928" t="s">
        <v>2008</v>
      </c>
    </row>
    <row customHeight="1" ht="11.25"/>
    <row s="6030" customFormat="1" customHeight="1" ht="22.5">
      <c r="A39" s="1904"/>
      <c r="B39" s="570"/>
      <c r="C39" s="972"/>
      <c r="D39" s="553"/>
      <c r="E39" s="973"/>
      <c r="F39" s="1925"/>
      <c r="G39" s="1935"/>
      <c r="H39" s="588"/>
    </row>
    <row customHeight="1" ht="11.25"/>
    <row s="9962" customFormat="1" customHeight="1" ht="11.25">
      <c r="A41" s="1928" t="s">
        <v>2009</v>
      </c>
    </row>
    <row customHeight="1" ht="11.25"/>
    <row s="6030" customFormat="1" customHeight="1" ht="22.5">
      <c r="A43" s="570"/>
      <c r="B43" s="570"/>
      <c r="C43" s="570"/>
      <c r="D43" s="553"/>
      <c r="E43" s="973"/>
      <c r="F43" s="974"/>
      <c r="G43" s="1935"/>
      <c r="H43" s="588"/>
    </row>
    <row customHeight="1" ht="11.25"/>
    <row s="9962" customFormat="1" customHeight="1" ht="11.25">
      <c r="A45" s="1928" t="s">
        <v>2010</v>
      </c>
    </row>
    <row customHeight="1" ht="11.25"/>
    <row s="6030" customFormat="1" customHeight="1" ht="24">
      <c r="A47" s="2315" t="s">
        <v>406</v>
      </c>
      <c r="B47" s="615"/>
      <c r="C47" s="2326"/>
      <c r="D47" s="558" t="str">
        <f>A47</f>
        <v>5.1</v>
      </c>
      <c r="E47" s="555" t="s">
        <v>407</v>
      </c>
      <c r="F47" s="2089" t="s">
        <v>399</v>
      </c>
      <c r="G47" s="557" t="s">
        <v>408</v>
      </c>
      <c r="H47" s="588"/>
      <c r="I47" s="965"/>
    </row>
    <row s="6030" customFormat="1" customHeight="1" ht="22.5">
      <c r="A48" s="2315"/>
      <c r="B48" s="615"/>
      <c r="C48" s="2326"/>
      <c r="D48" s="553" t="str">
        <f>D47&amp;".1"</f>
        <v>5.1.1</v>
      </c>
      <c r="E48" s="552" t="s">
        <v>409</v>
      </c>
      <c r="F48" s="2090" t="s">
        <v>28</v>
      </c>
      <c r="G48" s="587"/>
      <c r="H48" s="588"/>
      <c r="I48" s="965"/>
    </row>
    <row s="6030" customFormat="1" customHeight="1" ht="22.5">
      <c r="A49" s="2315"/>
      <c r="B49" s="615"/>
      <c r="C49" s="2326"/>
      <c r="D49" s="553" t="str">
        <f>D47&amp;".2"</f>
        <v>5.1.2</v>
      </c>
      <c r="E49" s="552" t="s">
        <v>410</v>
      </c>
      <c r="F49" s="1845" t="s">
        <v>28</v>
      </c>
      <c r="G49" s="557" t="s">
        <v>411</v>
      </c>
      <c r="H49" s="588"/>
      <c r="I49" s="965"/>
    </row>
    <row s="6030" customFormat="1" customHeight="1" ht="22.5">
      <c r="A50" s="2315"/>
      <c r="B50" s="615"/>
      <c r="C50" s="2326"/>
      <c r="D50" s="553" t="str">
        <f>D47&amp;".3"</f>
        <v>5.1.3</v>
      </c>
      <c r="E50" s="552" t="s">
        <v>412</v>
      </c>
      <c r="F50" s="2090" t="s">
        <v>28</v>
      </c>
      <c r="G50" s="587"/>
      <c r="H50" s="588"/>
      <c r="I50" s="965"/>
    </row>
    <row s="6030" customFormat="1" customHeight="1" ht="22.5">
      <c r="A51" s="2315"/>
      <c r="B51" s="615"/>
      <c r="C51" s="2326"/>
      <c r="D51" s="553" t="str">
        <f>D47&amp;".4"</f>
        <v>5.1.4</v>
      </c>
      <c r="E51" s="552" t="s">
        <v>413</v>
      </c>
      <c r="F51" s="2090" t="s">
        <v>28</v>
      </c>
      <c r="G51" s="557" t="s">
        <v>414</v>
      </c>
      <c r="H51" s="588"/>
      <c r="I51" s="965"/>
    </row>
    <row r="54" s="9962" customFormat="1" customHeight="1" ht="17.25">
      <c r="A54" s="1928" t="s">
        <v>2011</v>
      </c>
    </row>
    <row r="56" s="5362" customFormat="1" customHeight="1" ht="18.75">
      <c r="A56" s="202"/>
      <c r="B56" s="1936"/>
      <c r="C56" s="1936"/>
      <c r="D56" s="1937"/>
      <c r="E56" s="1922"/>
      <c r="F56" s="981">
        <v>13</v>
      </c>
      <c r="G56" s="980"/>
      <c r="H56" s="906"/>
      <c r="I56" s="904"/>
      <c r="J56" s="633" t="s">
        <v>66</v>
      </c>
      <c r="K56" s="1938" t="s">
        <v>28</v>
      </c>
      <c r="L56" s="202"/>
      <c r="M56" s="1749"/>
      <c r="N56" s="1749"/>
      <c r="O56" s="1749"/>
      <c r="P56" s="629" t="s">
        <v>485</v>
      </c>
      <c r="Q56" s="629" t="s">
        <v>486</v>
      </c>
      <c r="R56" s="630" t="s">
        <v>487</v>
      </c>
      <c r="S56" s="1749" t="s">
        <v>488</v>
      </c>
      <c r="T56" s="1749"/>
      <c r="U56" s="1749"/>
      <c r="V56" s="1749"/>
    </row>
    <row r="58" s="9962" customFormat="1" customHeight="1" ht="11.25">
      <c r="A58" s="1928" t="s">
        <v>2012</v>
      </c>
    </row>
    <row r="60" s="5387"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474</v>
      </c>
      <c r="AQ60" s="1737" t="s">
        <v>474</v>
      </c>
      <c r="AR60" s="1749"/>
      <c r="AS60" s="1749"/>
    </row>
    <row r="62" s="9962" customFormat="1" customHeight="1" ht="11.25">
      <c r="A62" s="1928" t="s">
        <v>2013</v>
      </c>
    </row>
    <row r="64" s="9640" customFormat="1" customHeight="1" ht="15">
      <c r="A64" s="258" t="s">
        <v>90</v>
      </c>
      <c r="B64" s="238" t="s">
        <v>28</v>
      </c>
      <c r="C64" s="1939"/>
      <c r="D64" s="241"/>
      <c r="E64" s="494"/>
      <c r="F64" s="494"/>
      <c r="G64" s="1916"/>
      <c r="H64" s="1938"/>
      <c r="I64" s="1917"/>
      <c r="K64" s="385"/>
      <c r="L64" s="386"/>
    </row>
    <row r="66" s="9962" customFormat="1" customHeight="1" ht="11.25">
      <c r="A66" s="1928" t="s">
        <v>2014</v>
      </c>
    </row>
    <row r="68" s="5387" customFormat="1" customHeight="1" ht="14.25">
      <c r="A68" s="456"/>
      <c r="B68" s="1273"/>
      <c r="C68" s="489"/>
      <c r="D68" s="1923"/>
      <c r="E68" s="999"/>
      <c r="F68" s="1938"/>
      <c r="G68" s="202"/>
      <c r="I68" s="1737"/>
      <c r="J68" s="1737"/>
    </row>
    <row r="70" s="9962" customFormat="1" customHeight="1" ht="11.25">
      <c r="A70" s="1928" t="s">
        <v>2015</v>
      </c>
    </row>
    <row r="72" s="5387"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2016</v>
      </c>
    </row>
    <row s="5387"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2017</v>
      </c>
    </row>
    <row r="75" s="9962" customFormat="1" customHeight="1" ht="11.25">
      <c r="A75" s="1928" t="s">
        <v>2018</v>
      </c>
    </row>
    <row r="77" s="5387"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2016</v>
      </c>
    </row>
    <row r="79" s="9962" customFormat="1" customHeight="1" ht="11.25">
      <c r="A79" s="1928" t="s">
        <v>2019</v>
      </c>
    </row>
    <row customHeight="1" ht="17.25"/>
    <row s="5387"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7" customFormat="1" customHeight="1" ht="0.75">
      <c r="A82" s="1279"/>
      <c r="B82" s="1279"/>
      <c r="C82" s="1279"/>
      <c r="D82" s="1273"/>
      <c r="E82" s="1283"/>
      <c r="F82" s="2649"/>
      <c r="G82" s="2628"/>
      <c r="H82" s="2653" t="s">
        <v>469</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7"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7"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7"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7"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7" customFormat="1" customHeight="1" ht="12">
      <c r="A87" s="1279"/>
      <c r="B87" s="1279"/>
      <c r="C87" s="1279"/>
      <c r="D87" s="1273"/>
      <c r="E87" s="1283"/>
      <c r="F87" s="2650"/>
      <c r="G87" s="1303"/>
      <c r="H87" s="1303"/>
      <c r="I87" s="2648" t="s">
        <v>2020</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9962" customFormat="1" customHeight="1" ht="11.25">
      <c r="A89" s="1928" t="s">
        <v>2021</v>
      </c>
    </row>
    <row r="91" s="5387"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7"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7"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2022</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9962" customFormat="1" customHeight="1" ht="11.25">
      <c r="A95" s="1928" t="s">
        <v>2023</v>
      </c>
    </row>
    <row r="97" s="5387"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9962" customFormat="1" customHeight="1" ht="11.25">
      <c r="A99" s="1928" t="s">
        <v>2024</v>
      </c>
    </row>
    <row r="101" s="5387" customFormat="1" customHeight="1" ht="11.25">
      <c r="A101" s="1279"/>
      <c r="B101" s="1279"/>
      <c r="C101" s="1279"/>
      <c r="D101" s="1273"/>
      <c r="E101" s="1283"/>
      <c r="F101" s="1942"/>
      <c r="G101" s="1943"/>
      <c r="H101" s="2628" t="s">
        <v>136</v>
      </c>
      <c r="I101" s="2629"/>
      <c r="J101" s="2598"/>
      <c r="K101" s="2630"/>
      <c r="L101" s="2220" t="s">
        <v>19</v>
      </c>
      <c r="M101" s="2221"/>
      <c r="N101" s="2099"/>
      <c r="O101" s="1290" t="s">
        <v>469</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7"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7"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7"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2022</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7" customFormat="1" customHeight="1" ht="11.25">
      <c r="A105" s="1279"/>
      <c r="B105" s="1279"/>
      <c r="C105" s="1279"/>
      <c r="D105" s="1273"/>
      <c r="E105" s="1283"/>
      <c r="F105" s="1942"/>
      <c r="G105" s="1943"/>
      <c r="H105" s="2628"/>
      <c r="I105" s="2629"/>
      <c r="J105" s="2598"/>
      <c r="K105" s="2630"/>
      <c r="L105" s="2220"/>
      <c r="M105" s="2221"/>
      <c r="N105" s="1288"/>
      <c r="O105" s="1289"/>
      <c r="P105" s="1281" t="s">
        <v>2025</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9962" customFormat="1" customHeight="1" ht="11.25">
      <c r="A107" s="1928" t="s">
        <v>2026</v>
      </c>
    </row>
    <row customHeight="1" ht="17.25"/>
    <row s="9487"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9487"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9487" customFormat="1" customHeight="1" ht="12">
      <c r="A111" s="1037"/>
      <c r="B111" s="1036"/>
      <c r="C111" s="1037"/>
      <c r="D111" s="1037"/>
      <c r="E111" s="1037"/>
      <c r="F111" s="1326"/>
      <c r="G111" s="1913" t="s">
        <v>2027</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9962" customFormat="1" customHeight="1" ht="11.25">
      <c r="A113" s="1928" t="s">
        <v>2028</v>
      </c>
    </row>
    <row r="115" s="5528" customFormat="1" customHeight="1" ht="15">
      <c r="A115" s="736"/>
      <c r="B115" s="737"/>
      <c r="C115" s="737"/>
      <c r="D115" s="2691" t="s">
        <v>136</v>
      </c>
      <c r="E115" s="2490" t="s">
        <v>141</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700</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28" customFormat="1" customHeight="1" ht="15">
      <c r="A116" s="736"/>
      <c r="B116" s="737"/>
      <c r="C116" s="737"/>
      <c r="D116" s="2692"/>
      <c r="E116" s="2490" t="s">
        <v>655</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28" customFormat="1" customHeight="1" ht="15">
      <c r="A117" s="736"/>
      <c r="B117" s="737"/>
      <c r="C117" s="737"/>
      <c r="D117" s="2692"/>
      <c r="E117" s="2490" t="s">
        <v>656</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28" customFormat="1" customHeight="1" ht="24.75">
      <c r="A118" s="1919"/>
      <c r="B118" s="1273"/>
      <c r="C118" s="525"/>
      <c r="D118" s="2692"/>
      <c r="E118" s="2489" t="s">
        <v>701</v>
      </c>
      <c r="F118" s="2489"/>
      <c r="G118" s="2489"/>
      <c r="H118" s="2489"/>
      <c r="I118" s="2489"/>
      <c r="J118" s="2489"/>
      <c r="K118" s="2489"/>
      <c r="L118" s="2489"/>
      <c r="M118" s="2489"/>
      <c r="N118" s="2489"/>
      <c r="O118" s="2489"/>
      <c r="P118" s="2489"/>
      <c r="Q118" s="671">
        <f>SUMIF(T119:T120,"i",Q119:Q120)</f>
        <v>0</v>
      </c>
      <c r="R118" s="1130"/>
      <c r="S118" s="1911" t="s">
        <v>702</v>
      </c>
      <c r="T118" s="830" t="s">
        <v>703</v>
      </c>
      <c r="U118" s="2487">
        <v>1</v>
      </c>
      <c r="V118" s="2487" t="s">
        <v>666</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28"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28" customFormat="1" customHeight="1" ht="11.25">
      <c r="A120" s="1919"/>
      <c r="B120" s="1273"/>
      <c r="C120" s="525"/>
      <c r="D120" s="2692"/>
      <c r="E120" s="762" t="s">
        <v>28</v>
      </c>
      <c r="F120" s="1281" t="s">
        <v>28</v>
      </c>
      <c r="G120" s="1281" t="s">
        <v>2029</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28" customFormat="1" customHeight="1" ht="24.75">
      <c r="A121" s="1919"/>
      <c r="B121" s="1273"/>
      <c r="C121" s="525"/>
      <c r="D121" s="2692"/>
      <c r="E121" s="2489" t="s">
        <v>704</v>
      </c>
      <c r="F121" s="2489"/>
      <c r="G121" s="2489"/>
      <c r="H121" s="2489"/>
      <c r="I121" s="2489"/>
      <c r="J121" s="2489"/>
      <c r="K121" s="2489"/>
      <c r="L121" s="2489"/>
      <c r="M121" s="2489"/>
      <c r="N121" s="2489"/>
      <c r="O121" s="2489"/>
      <c r="P121" s="2489"/>
      <c r="Q121" s="671">
        <f>SUMIF(T122:T123,"i",Q122:Q123)</f>
        <v>0</v>
      </c>
      <c r="R121" s="1130"/>
      <c r="S121" s="1911" t="s">
        <v>705</v>
      </c>
      <c r="T121" s="830" t="s">
        <v>703</v>
      </c>
      <c r="U121" s="2487">
        <v>1</v>
      </c>
      <c r="V121" s="2487" t="s">
        <v>666</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28"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28" customFormat="1" customHeight="1" ht="11.25">
      <c r="A123" s="1919"/>
      <c r="B123" s="1273"/>
      <c r="C123" s="525"/>
      <c r="D123" s="2693"/>
      <c r="E123" s="762" t="s">
        <v>28</v>
      </c>
      <c r="F123" s="1281" t="s">
        <v>28</v>
      </c>
      <c r="G123" s="1281" t="s">
        <v>2029</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9962" customFormat="1" customHeight="1" ht="11.25">
      <c r="A125" s="1928" t="s">
        <v>2030</v>
      </c>
    </row>
    <row r="127" s="5528" customFormat="1" customHeight="1" ht="15">
      <c r="A127" s="736"/>
      <c r="B127" s="737"/>
      <c r="C127" s="737"/>
      <c r="D127" s="2691" t="s">
        <v>136</v>
      </c>
      <c r="E127" s="2490" t="s">
        <v>141</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700</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28" customFormat="1" customHeight="1" ht="15">
      <c r="A128" s="736"/>
      <c r="B128" s="737"/>
      <c r="C128" s="737"/>
      <c r="D128" s="2692"/>
      <c r="E128" s="2490" t="s">
        <v>655</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28" customFormat="1" customHeight="1" ht="15">
      <c r="A129" s="736"/>
      <c r="B129" s="737"/>
      <c r="C129" s="737"/>
      <c r="D129" s="2692"/>
      <c r="E129" s="2490" t="s">
        <v>656</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28" customFormat="1" customHeight="1" ht="24.75">
      <c r="A130" s="1919"/>
      <c r="B130" s="1273"/>
      <c r="C130" s="525"/>
      <c r="D130" s="2692"/>
      <c r="E130" s="2489" t="s">
        <v>701</v>
      </c>
      <c r="F130" s="2489"/>
      <c r="G130" s="2489"/>
      <c r="H130" s="2489"/>
      <c r="I130" s="2489"/>
      <c r="J130" s="2489"/>
      <c r="K130" s="2489"/>
      <c r="L130" s="2489"/>
      <c r="M130" s="2489"/>
      <c r="N130" s="2489"/>
      <c r="O130" s="2489"/>
      <c r="P130" s="2489"/>
      <c r="Q130" s="671">
        <f>SUMIF(T131:T132,"i",Q131:Q132)</f>
        <v>0</v>
      </c>
      <c r="R130" s="1130"/>
      <c r="S130" s="1911" t="s">
        <v>702</v>
      </c>
      <c r="T130" s="830" t="s">
        <v>703</v>
      </c>
      <c r="U130" s="2487">
        <v>1</v>
      </c>
      <c r="V130" s="2487" t="s">
        <v>666</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28"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28" customFormat="1" customHeight="1" ht="11.25">
      <c r="A132" s="1919"/>
      <c r="B132" s="1273"/>
      <c r="C132" s="525"/>
      <c r="D132" s="2692"/>
      <c r="E132" s="762" t="s">
        <v>28</v>
      </c>
      <c r="F132" s="1281" t="s">
        <v>28</v>
      </c>
      <c r="G132" s="1281" t="s">
        <v>2029</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67"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703</v>
      </c>
      <c r="U133" s="2487">
        <v>1</v>
      </c>
      <c r="V133" s="2487" t="s">
        <v>666</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67"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67"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9962" customFormat="1" customHeight="1" ht="11.25">
      <c r="A137" s="1928" t="s">
        <v>2031</v>
      </c>
    </row>
    <row r="139" s="5528" customFormat="1" customHeight="1" ht="45">
      <c r="A139" s="1919"/>
      <c r="B139" s="1273"/>
      <c r="C139" s="525"/>
      <c r="D139" s="202"/>
      <c r="E139" s="2685"/>
      <c r="F139" s="2221" t="s">
        <v>136</v>
      </c>
      <c r="G139" s="2688" t="s">
        <v>28</v>
      </c>
      <c r="H139" s="402"/>
      <c r="I139" s="750" t="s">
        <v>136</v>
      </c>
      <c r="J139" s="1920" t="s">
        <v>2032</v>
      </c>
      <c r="K139" s="751" t="s">
        <v>637</v>
      </c>
      <c r="L139" s="2337" t="s">
        <v>637</v>
      </c>
      <c r="M139" s="2690"/>
      <c r="N139" s="751" t="s">
        <v>637</v>
      </c>
      <c r="O139" s="751" t="s">
        <v>637</v>
      </c>
      <c r="P139" s="751" t="s">
        <v>637</v>
      </c>
      <c r="Q139" s="752">
        <f>SUM(Q140:Q142)</f>
        <v>0</v>
      </c>
      <c r="R139" s="752">
        <f>IF(R136=0,0,(Q136/R136)*100)</f>
        <v>0</v>
      </c>
      <c r="S139" s="2292"/>
      <c r="T139" s="830" t="s">
        <v>703</v>
      </c>
      <c r="U139" s="202"/>
      <c r="V139" s="202"/>
      <c r="AC139" s="202"/>
    </row>
    <row s="5528" customFormat="1" customHeight="1" ht="11.25">
      <c r="A140" s="1919"/>
      <c r="B140" s="1273"/>
      <c r="C140" s="525"/>
      <c r="D140" s="202"/>
      <c r="E140" s="2686"/>
      <c r="F140" s="2221"/>
      <c r="G140" s="2688"/>
      <c r="H140" s="2240"/>
      <c r="I140" s="2628" t="s">
        <v>1112</v>
      </c>
      <c r="J140" s="2682"/>
      <c r="K140" s="2683"/>
      <c r="L140" s="753"/>
      <c r="M140" s="754" t="s">
        <v>136</v>
      </c>
      <c r="N140" s="1908"/>
      <c r="O140" s="755"/>
      <c r="P140" s="756"/>
      <c r="Q140" s="755"/>
      <c r="R140" s="757">
        <v>0</v>
      </c>
      <c r="S140" s="2292"/>
      <c r="T140" s="830"/>
      <c r="U140" s="202"/>
      <c r="V140" s="202"/>
      <c r="AC140" s="202"/>
    </row>
    <row s="5528" customFormat="1" customHeight="1" ht="11.25">
      <c r="A141" s="1919"/>
      <c r="B141" s="1273"/>
      <c r="C141" s="525"/>
      <c r="D141" s="202"/>
      <c r="E141" s="2686"/>
      <c r="F141" s="2221"/>
      <c r="G141" s="2688"/>
      <c r="H141" s="2240"/>
      <c r="I141" s="2628"/>
      <c r="J141" s="2682"/>
      <c r="K141" s="2684"/>
      <c r="L141" s="758"/>
      <c r="M141" s="759"/>
      <c r="N141" s="760" t="s">
        <v>2033</v>
      </c>
      <c r="O141" s="760"/>
      <c r="P141" s="760"/>
      <c r="Q141" s="760"/>
      <c r="R141" s="761"/>
      <c r="S141" s="2292"/>
      <c r="T141" s="830"/>
      <c r="U141" s="202"/>
      <c r="V141" s="202"/>
      <c r="AC141" s="202"/>
    </row>
    <row s="5528" customFormat="1" customHeight="1" ht="11.25">
      <c r="A142" s="1919"/>
      <c r="B142" s="1273"/>
      <c r="C142" s="525"/>
      <c r="D142" s="202"/>
      <c r="E142" s="2687"/>
      <c r="F142" s="2221"/>
      <c r="G142" s="2689"/>
      <c r="H142" s="758" t="s">
        <v>28</v>
      </c>
      <c r="I142" s="759"/>
      <c r="J142" s="760" t="s">
        <v>2034</v>
      </c>
      <c r="K142" s="760"/>
      <c r="L142" s="760"/>
      <c r="M142" s="760"/>
      <c r="N142" s="760"/>
      <c r="O142" s="760"/>
      <c r="P142" s="760"/>
      <c r="Q142" s="760"/>
      <c r="R142" s="761"/>
      <c r="S142" s="2292"/>
      <c r="T142" s="830"/>
      <c r="U142" s="202"/>
      <c r="V142" s="202"/>
      <c r="AC142" s="202"/>
    </row>
    <row r="147" s="5528" customFormat="1" customHeight="1" ht="11.25">
      <c r="A147" s="1919"/>
      <c r="B147" s="1273"/>
      <c r="C147" s="525"/>
      <c r="D147" s="202"/>
      <c r="E147" s="1943"/>
      <c r="F147" s="1943"/>
      <c r="G147" s="1943"/>
      <c r="H147" s="2240"/>
      <c r="I147" s="2628" t="s">
        <v>1112</v>
      </c>
      <c r="J147" s="2682"/>
      <c r="K147" s="2683"/>
      <c r="L147" s="753"/>
      <c r="M147" s="754" t="s">
        <v>136</v>
      </c>
      <c r="N147" s="1908"/>
      <c r="O147" s="755"/>
      <c r="P147" s="756"/>
      <c r="Q147" s="755"/>
      <c r="R147" s="757">
        <v>0</v>
      </c>
      <c r="S147" s="202"/>
      <c r="T147" s="830"/>
      <c r="U147" s="202"/>
      <c r="V147" s="202"/>
      <c r="AC147" s="202"/>
    </row>
    <row s="5528" customFormat="1" customHeight="1" ht="11.25">
      <c r="A148" s="1919"/>
      <c r="B148" s="1273"/>
      <c r="C148" s="525"/>
      <c r="D148" s="202"/>
      <c r="E148" s="1943"/>
      <c r="F148" s="1943"/>
      <c r="G148" s="1943"/>
      <c r="H148" s="2240"/>
      <c r="I148" s="2628"/>
      <c r="J148" s="2682"/>
      <c r="K148" s="2684"/>
      <c r="L148" s="758"/>
      <c r="M148" s="759"/>
      <c r="N148" s="760" t="s">
        <v>2033</v>
      </c>
      <c r="O148" s="760"/>
      <c r="P148" s="760"/>
      <c r="Q148" s="760"/>
      <c r="R148" s="761"/>
      <c r="S148" s="202"/>
      <c r="T148" s="830"/>
      <c r="U148" s="202"/>
      <c r="V148" s="202"/>
      <c r="AC148" s="202"/>
    </row>
    <row r="150" s="5528" customFormat="1" customHeight="1" ht="11.25">
      <c r="A150" s="1919"/>
      <c r="B150" s="1273"/>
      <c r="C150" s="525"/>
      <c r="D150" s="202"/>
      <c r="E150" s="1950"/>
      <c r="F150" s="1948"/>
      <c r="G150" s="1948"/>
      <c r="H150" s="1951"/>
      <c r="I150" s="1943"/>
      <c r="J150" s="1944"/>
      <c r="K150" s="1944"/>
      <c r="L150" s="753"/>
      <c r="M150" s="754" t="s">
        <v>136</v>
      </c>
      <c r="N150" s="1908"/>
      <c r="O150" s="755"/>
      <c r="P150" s="756"/>
      <c r="Q150" s="755"/>
      <c r="R150" s="757">
        <v>0</v>
      </c>
      <c r="S150" s="202"/>
      <c r="T150" s="830"/>
      <c r="U150" s="202"/>
      <c r="V150" s="202"/>
      <c r="AC150" s="202"/>
    </row>
    <row r="152" s="9962" customFormat="1" customHeight="1" ht="17.25">
      <c r="A152" s="1928" t="s">
        <v>2035</v>
      </c>
    </row>
    <row customHeight="1" ht="17.25">
      <c r="G153" s="1952"/>
      <c r="H153" s="1952"/>
      <c r="I153" s="1952"/>
      <c r="M153" s="1948"/>
    </row>
    <row s="5604" customFormat="1" customHeight="1" ht="17.25">
      <c r="A154" s="1953"/>
      <c r="C154" s="1955"/>
      <c r="D154" s="2642"/>
      <c r="E154" s="2256"/>
      <c r="F154" s="2258"/>
      <c r="G154" s="2644"/>
      <c r="H154" s="2642"/>
      <c r="I154" s="2642">
        <v>1</v>
      </c>
      <c r="J154" s="2614"/>
      <c r="K154" s="2298" t="s">
        <v>66</v>
      </c>
      <c r="L154" s="2221"/>
      <c r="M154" s="2221" t="s">
        <v>136</v>
      </c>
      <c r="N154" s="2617" t="str">
        <f>IF(Z154="","",INDEX(TERRITORY_MR_LIST,MATCH(Z154,TERRITORY_LIST_ID,0)))</f>
        <v/>
      </c>
      <c r="O154" s="2298" t="s">
        <v>66</v>
      </c>
      <c r="P154" s="2221"/>
      <c r="Q154" s="2221" t="s">
        <v>136</v>
      </c>
      <c r="R154" s="2615" t="s">
        <v>28</v>
      </c>
      <c r="S154" s="2220" t="s">
        <v>66</v>
      </c>
      <c r="T154" s="1924"/>
      <c r="U154" s="1924" t="s">
        <v>136</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04"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507</v>
      </c>
      <c r="W155" s="432"/>
      <c r="Y155" s="1372"/>
      <c r="Z155" s="1372"/>
      <c r="AA155" s="1372"/>
      <c r="AB155" s="1372"/>
      <c r="AC155" s="1372"/>
      <c r="AD155" s="1372"/>
      <c r="AE155" s="1372"/>
      <c r="AF155" s="1372"/>
      <c r="AG155" s="1372"/>
      <c r="AH155" s="1372"/>
      <c r="AI155" s="1372"/>
      <c r="AJ155" s="1372"/>
      <c r="AK155" s="1372"/>
    </row>
    <row s="5604" customFormat="1" customHeight="1" ht="17.25">
      <c r="A156" s="1953"/>
      <c r="C156" s="1958"/>
      <c r="D156" s="2616"/>
      <c r="E156" s="2643"/>
      <c r="F156" s="2259"/>
      <c r="G156" s="2645"/>
      <c r="H156" s="2616"/>
      <c r="I156" s="2616"/>
      <c r="J156" s="2646"/>
      <c r="K156" s="2299"/>
      <c r="L156" s="2616"/>
      <c r="M156" s="2616"/>
      <c r="N156" s="2618"/>
      <c r="O156" s="2225"/>
      <c r="P156" s="430"/>
      <c r="Q156" s="431"/>
      <c r="R156" s="431" t="s">
        <v>312</v>
      </c>
      <c r="S156" s="1959"/>
      <c r="T156" s="1959"/>
      <c r="U156" s="1959"/>
      <c r="V156" s="1959"/>
      <c r="W156" s="432"/>
      <c r="Y156" s="1372"/>
      <c r="Z156" s="1372"/>
      <c r="AA156" s="1372"/>
      <c r="AB156" s="1372"/>
      <c r="AC156" s="1372"/>
      <c r="AD156" s="1372"/>
      <c r="AE156" s="1372"/>
      <c r="AF156" s="1372"/>
      <c r="AG156" s="1372"/>
      <c r="AH156" s="1372"/>
      <c r="AI156" s="1372"/>
      <c r="AJ156" s="1372"/>
      <c r="AK156" s="1372"/>
    </row>
    <row s="5604" customFormat="1" customHeight="1" ht="17.25">
      <c r="A157" s="1953"/>
      <c r="C157" s="1958"/>
      <c r="D157" s="2616"/>
      <c r="E157" s="2643"/>
      <c r="F157" s="2259"/>
      <c r="G157" s="2645"/>
      <c r="H157" s="2616"/>
      <c r="I157" s="2616"/>
      <c r="J157" s="2646"/>
      <c r="K157" s="2225"/>
      <c r="L157" s="430"/>
      <c r="M157" s="431"/>
      <c r="N157" s="431" t="s">
        <v>360</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04" customFormat="1" customHeight="1" ht="17.25">
      <c r="A158" s="1953"/>
      <c r="C158" s="1958"/>
      <c r="D158" s="2616"/>
      <c r="E158" s="2643"/>
      <c r="F158" s="2260"/>
      <c r="G158" s="2645"/>
      <c r="H158" s="430"/>
      <c r="I158" s="431"/>
      <c r="J158" s="431" t="s">
        <v>361</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04" customFormat="1" customHeight="1" ht="17.25">
      <c r="A160" s="1953"/>
      <c r="C160" s="1955"/>
      <c r="D160" s="1943"/>
      <c r="E160" s="1960"/>
      <c r="F160" s="1897"/>
      <c r="G160" s="1961"/>
      <c r="H160" s="2642"/>
      <c r="I160" s="2642">
        <v>1</v>
      </c>
      <c r="J160" s="2614"/>
      <c r="K160" s="2298" t="s">
        <v>66</v>
      </c>
      <c r="L160" s="2221"/>
      <c r="M160" s="2221" t="s">
        <v>136</v>
      </c>
      <c r="N160" s="2617" t="str">
        <f>IF(Z160="","",INDEX(TERRITORY_MR_LIST,MATCH(Z160,TERRITORY_LIST_ID,0)))</f>
        <v/>
      </c>
      <c r="O160" s="2298" t="s">
        <v>66</v>
      </c>
      <c r="P160" s="2221"/>
      <c r="Q160" s="2221" t="s">
        <v>136</v>
      </c>
      <c r="R160" s="2615" t="s">
        <v>28</v>
      </c>
      <c r="S160" s="2220" t="s">
        <v>66</v>
      </c>
      <c r="T160" s="1924"/>
      <c r="U160" s="1924" t="s">
        <v>136</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04"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507</v>
      </c>
      <c r="W161" s="432"/>
      <c r="Y161" s="1372"/>
      <c r="Z161" s="1372"/>
      <c r="AA161" s="1372"/>
      <c r="AB161" s="1372"/>
      <c r="AC161" s="1372"/>
      <c r="AD161" s="1372"/>
      <c r="AE161" s="1372"/>
      <c r="AF161" s="1372"/>
      <c r="AG161" s="1372"/>
      <c r="AH161" s="1372"/>
      <c r="AI161" s="1372"/>
      <c r="AJ161" s="1372"/>
      <c r="AK161" s="1372"/>
    </row>
    <row s="5604" customFormat="1" customHeight="1" ht="17.25">
      <c r="A162" s="1953"/>
      <c r="C162" s="1958"/>
      <c r="D162" s="1943"/>
      <c r="E162" s="1960"/>
      <c r="F162" s="1897"/>
      <c r="G162" s="1961"/>
      <c r="H162" s="2616"/>
      <c r="I162" s="2616"/>
      <c r="J162" s="2646"/>
      <c r="K162" s="2299"/>
      <c r="L162" s="2616"/>
      <c r="M162" s="2616"/>
      <c r="N162" s="2618"/>
      <c r="O162" s="2225"/>
      <c r="P162" s="430"/>
      <c r="Q162" s="431"/>
      <c r="R162" s="431" t="s">
        <v>312</v>
      </c>
      <c r="S162" s="1959"/>
      <c r="T162" s="1959"/>
      <c r="U162" s="1959"/>
      <c r="V162" s="1959"/>
      <c r="W162" s="432"/>
      <c r="Y162" s="1372"/>
      <c r="Z162" s="1372"/>
      <c r="AA162" s="1372"/>
      <c r="AB162" s="1372"/>
      <c r="AC162" s="1372"/>
      <c r="AD162" s="1372"/>
      <c r="AE162" s="1372"/>
      <c r="AF162" s="1372"/>
      <c r="AG162" s="1372"/>
      <c r="AH162" s="1372"/>
      <c r="AI162" s="1372"/>
      <c r="AJ162" s="1372"/>
      <c r="AK162" s="1372"/>
    </row>
    <row s="5604" customFormat="1" customHeight="1" ht="17.25">
      <c r="A163" s="1953"/>
      <c r="C163" s="1958"/>
      <c r="D163" s="1943"/>
      <c r="E163" s="1960"/>
      <c r="F163" s="1897"/>
      <c r="G163" s="1961"/>
      <c r="H163" s="2616"/>
      <c r="I163" s="2616"/>
      <c r="J163" s="2646"/>
      <c r="K163" s="2225"/>
      <c r="L163" s="430"/>
      <c r="M163" s="431"/>
      <c r="N163" s="431" t="s">
        <v>360</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04" customFormat="1" customHeight="1" ht="17.25">
      <c r="A165" s="1953"/>
      <c r="C165" s="1955"/>
      <c r="D165" s="1943"/>
      <c r="E165" s="1960"/>
      <c r="F165" s="1897"/>
      <c r="G165" s="1961"/>
      <c r="H165" s="1943"/>
      <c r="I165" s="1943"/>
      <c r="J165" s="1962"/>
      <c r="K165" s="1873"/>
      <c r="L165" s="2221"/>
      <c r="M165" s="2221" t="s">
        <v>136</v>
      </c>
      <c r="N165" s="2617" t="str">
        <f>IF(Z165="","",INDEX(TERRITORY_MR_LIST,MATCH(Z165,TERRITORY_LIST_ID,0)))</f>
        <v/>
      </c>
      <c r="O165" s="2298" t="s">
        <v>66</v>
      </c>
      <c r="P165" s="2221"/>
      <c r="Q165" s="2221" t="s">
        <v>136</v>
      </c>
      <c r="R165" s="2615" t="s">
        <v>28</v>
      </c>
      <c r="S165" s="2220" t="s">
        <v>66</v>
      </c>
      <c r="T165" s="1924"/>
      <c r="U165" s="1924" t="s">
        <v>136</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04"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507</v>
      </c>
      <c r="W166" s="432"/>
      <c r="Y166" s="1372"/>
      <c r="Z166" s="1372"/>
      <c r="AA166" s="1372"/>
      <c r="AB166" s="1372"/>
      <c r="AC166" s="1372"/>
      <c r="AD166" s="1372"/>
      <c r="AE166" s="1372"/>
      <c r="AF166" s="1372"/>
      <c r="AG166" s="1372"/>
      <c r="AH166" s="1372"/>
      <c r="AI166" s="1372"/>
      <c r="AJ166" s="1372"/>
      <c r="AK166" s="1372"/>
    </row>
    <row s="5604" customFormat="1" customHeight="1" ht="17.25">
      <c r="A167" s="1953"/>
      <c r="C167" s="1958"/>
      <c r="D167" s="1943"/>
      <c r="E167" s="1960"/>
      <c r="F167" s="1897"/>
      <c r="G167" s="1961"/>
      <c r="H167" s="1943"/>
      <c r="I167" s="1943"/>
      <c r="J167" s="1962"/>
      <c r="K167" s="1873"/>
      <c r="L167" s="2616"/>
      <c r="M167" s="2616"/>
      <c r="N167" s="2618"/>
      <c r="O167" s="2225"/>
      <c r="P167" s="430"/>
      <c r="Q167" s="431"/>
      <c r="R167" s="431" t="s">
        <v>312</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04" customFormat="1" customHeight="1" ht="17.25">
      <c r="A169" s="1953"/>
      <c r="C169" s="1955"/>
      <c r="D169" s="1943"/>
      <c r="E169" s="1960"/>
      <c r="F169" s="1897"/>
      <c r="G169" s="1961"/>
      <c r="H169" s="1943"/>
      <c r="I169" s="1943"/>
      <c r="J169" s="1962"/>
      <c r="K169" s="1873"/>
      <c r="L169" s="1869"/>
      <c r="M169" s="1869"/>
      <c r="N169" s="2161"/>
      <c r="O169" s="1900"/>
      <c r="P169" s="2221"/>
      <c r="Q169" s="2221" t="s">
        <v>136</v>
      </c>
      <c r="R169" s="2615" t="s">
        <v>28</v>
      </c>
      <c r="S169" s="2220" t="s">
        <v>66</v>
      </c>
      <c r="T169" s="1924"/>
      <c r="U169" s="1924" t="s">
        <v>136</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04"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507</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04"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136</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9962" customFormat="1" customHeight="1" ht="17.25">
      <c r="A174" s="1928" t="s">
        <v>2036</v>
      </c>
    </row>
    <row customHeight="1" ht="17.25">
      <c r="G175" s="1952"/>
      <c r="H175" s="1952"/>
      <c r="I175" s="1952"/>
      <c r="M175" s="1948"/>
    </row>
    <row s="5604" customFormat="1" customHeight="1" ht="17.25">
      <c r="A176" s="1953"/>
      <c r="C176" s="1955"/>
      <c r="D176" s="2642"/>
      <c r="E176" s="2256"/>
      <c r="F176" s="2258"/>
      <c r="G176" s="2644"/>
      <c r="H176" s="2642"/>
      <c r="I176" s="2642">
        <v>1</v>
      </c>
      <c r="J176" s="2614"/>
      <c r="K176" s="2298" t="s">
        <v>66</v>
      </c>
      <c r="L176" s="2221"/>
      <c r="M176" s="2221" t="s">
        <v>136</v>
      </c>
      <c r="N176" s="2617" t="str">
        <f>IF(Z176="","",INDEX(TERRITORY_MR_LIST,MATCH(Z176,TERRITORY_LIST_ID,0)))</f>
        <v/>
      </c>
      <c r="O176" s="2298" t="s">
        <v>66</v>
      </c>
      <c r="P176" s="2221"/>
      <c r="Q176" s="2221" t="s">
        <v>136</v>
      </c>
      <c r="R176" s="2615" t="s">
        <v>28</v>
      </c>
      <c r="S176" s="2519" t="s">
        <v>19</v>
      </c>
      <c r="T176" s="1915"/>
      <c r="U176" s="1915" t="s">
        <v>136</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04"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04" customFormat="1" customHeight="1" ht="17.25">
      <c r="A178" s="1953"/>
      <c r="C178" s="1958"/>
      <c r="D178" s="2616"/>
      <c r="E178" s="2643"/>
      <c r="F178" s="2259"/>
      <c r="G178" s="2645"/>
      <c r="H178" s="2616"/>
      <c r="I178" s="2616"/>
      <c r="J178" s="2646"/>
      <c r="K178" s="2299"/>
      <c r="L178" s="2616"/>
      <c r="M178" s="2616"/>
      <c r="N178" s="2618"/>
      <c r="O178" s="2225"/>
      <c r="P178" s="430"/>
      <c r="Q178" s="431"/>
      <c r="R178" s="431" t="s">
        <v>312</v>
      </c>
      <c r="S178" s="1959"/>
      <c r="T178" s="1959"/>
      <c r="U178" s="1959"/>
      <c r="V178" s="1959"/>
      <c r="W178" s="1546"/>
      <c r="Y178" s="1372"/>
      <c r="Z178" s="1372"/>
      <c r="AA178" s="1372"/>
      <c r="AB178" s="1372"/>
      <c r="AC178" s="1372"/>
      <c r="AD178" s="1372"/>
      <c r="AE178" s="1372"/>
      <c r="AF178" s="1372"/>
      <c r="AG178" s="1372"/>
      <c r="AH178" s="1372"/>
      <c r="AI178" s="1372"/>
      <c r="AJ178" s="1372"/>
      <c r="AK178" s="1372"/>
    </row>
    <row s="5604" customFormat="1" customHeight="1" ht="17.25">
      <c r="A179" s="1953"/>
      <c r="C179" s="1958"/>
      <c r="D179" s="2616"/>
      <c r="E179" s="2643"/>
      <c r="F179" s="2259"/>
      <c r="G179" s="2645"/>
      <c r="H179" s="2616"/>
      <c r="I179" s="2616"/>
      <c r="J179" s="2646"/>
      <c r="K179" s="2225"/>
      <c r="L179" s="430"/>
      <c r="M179" s="431"/>
      <c r="N179" s="431" t="s">
        <v>360</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04" customFormat="1" customHeight="1" ht="17.25">
      <c r="A180" s="1953"/>
      <c r="C180" s="1958"/>
      <c r="D180" s="2616"/>
      <c r="E180" s="2643"/>
      <c r="F180" s="2260"/>
      <c r="G180" s="2645"/>
      <c r="H180" s="430"/>
      <c r="I180" s="431"/>
      <c r="J180" s="431" t="s">
        <v>361</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04" customFormat="1" customHeight="1" ht="17.25">
      <c r="A182" s="1953"/>
      <c r="C182" s="1955"/>
      <c r="D182" s="1943"/>
      <c r="E182" s="1960"/>
      <c r="F182" s="1897"/>
      <c r="G182" s="1961"/>
      <c r="H182" s="2642"/>
      <c r="I182" s="2642">
        <v>1</v>
      </c>
      <c r="J182" s="2614"/>
      <c r="K182" s="2298" t="s">
        <v>66</v>
      </c>
      <c r="L182" s="2221"/>
      <c r="M182" s="2221" t="s">
        <v>136</v>
      </c>
      <c r="N182" s="2617" t="str">
        <f>IF(Z182="","",INDEX(TERRITORY_MR_LIST,MATCH(Z182,TERRITORY_LIST_ID,0)))</f>
        <v/>
      </c>
      <c r="O182" s="2298" t="s">
        <v>66</v>
      </c>
      <c r="P182" s="2221"/>
      <c r="Q182" s="2221" t="s">
        <v>136</v>
      </c>
      <c r="R182" s="2615" t="s">
        <v>28</v>
      </c>
      <c r="S182" s="2519" t="s">
        <v>19</v>
      </c>
      <c r="T182" s="1915"/>
      <c r="U182" s="1915" t="s">
        <v>136</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04"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04" customFormat="1" customHeight="1" ht="17.25">
      <c r="A184" s="1953"/>
      <c r="C184" s="1958"/>
      <c r="D184" s="1943"/>
      <c r="E184" s="1960"/>
      <c r="F184" s="1897"/>
      <c r="G184" s="1961"/>
      <c r="H184" s="2616"/>
      <c r="I184" s="2616"/>
      <c r="J184" s="2646"/>
      <c r="K184" s="2299"/>
      <c r="L184" s="2616"/>
      <c r="M184" s="2616"/>
      <c r="N184" s="2618"/>
      <c r="O184" s="2225"/>
      <c r="P184" s="430"/>
      <c r="Q184" s="431"/>
      <c r="R184" s="431" t="s">
        <v>312</v>
      </c>
      <c r="S184" s="1959"/>
      <c r="T184" s="1959"/>
      <c r="U184" s="1959"/>
      <c r="V184" s="1959"/>
      <c r="W184" s="1546"/>
      <c r="Y184" s="1372"/>
      <c r="Z184" s="1372"/>
      <c r="AA184" s="1372"/>
      <c r="AB184" s="1372"/>
      <c r="AC184" s="1372"/>
      <c r="AD184" s="1372"/>
      <c r="AE184" s="1372"/>
      <c r="AF184" s="1372"/>
      <c r="AG184" s="1372"/>
      <c r="AH184" s="1372"/>
      <c r="AI184" s="1372"/>
      <c r="AJ184" s="1372"/>
      <c r="AK184" s="1372"/>
    </row>
    <row s="5604" customFormat="1" customHeight="1" ht="17.25">
      <c r="A185" s="1953"/>
      <c r="C185" s="1958"/>
      <c r="D185" s="1943"/>
      <c r="E185" s="1960"/>
      <c r="F185" s="1897"/>
      <c r="G185" s="1961"/>
      <c r="H185" s="2616"/>
      <c r="I185" s="2616"/>
      <c r="J185" s="2646"/>
      <c r="K185" s="2225"/>
      <c r="L185" s="430"/>
      <c r="M185" s="431"/>
      <c r="N185" s="431" t="s">
        <v>360</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04" customFormat="1" customHeight="1" ht="17.25">
      <c r="A187" s="1953"/>
      <c r="C187" s="1955"/>
      <c r="D187" s="1943"/>
      <c r="E187" s="1960"/>
      <c r="F187" s="1897"/>
      <c r="G187" s="1961"/>
      <c r="H187" s="1943"/>
      <c r="I187" s="1943"/>
      <c r="J187" s="1964"/>
      <c r="K187" s="1961"/>
      <c r="L187" s="2221"/>
      <c r="M187" s="2221" t="s">
        <v>136</v>
      </c>
      <c r="N187" s="2617" t="str">
        <f>IF(Z187="","",INDEX(TERRITORY_MR_LIST,MATCH(Z187,TERRITORY_LIST_ID,0)))</f>
        <v/>
      </c>
      <c r="O187" s="2298" t="s">
        <v>66</v>
      </c>
      <c r="P187" s="2221"/>
      <c r="Q187" s="2221" t="s">
        <v>136</v>
      </c>
      <c r="R187" s="2615" t="s">
        <v>28</v>
      </c>
      <c r="S187" s="2519" t="s">
        <v>19</v>
      </c>
      <c r="T187" s="1915"/>
      <c r="U187" s="1915" t="s">
        <v>136</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04"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04" customFormat="1" customHeight="1" ht="17.25">
      <c r="A189" s="1953"/>
      <c r="C189" s="1958"/>
      <c r="D189" s="1943"/>
      <c r="E189" s="1960"/>
      <c r="F189" s="1897"/>
      <c r="G189" s="1961"/>
      <c r="H189" s="1943"/>
      <c r="I189" s="1943"/>
      <c r="J189" s="1964"/>
      <c r="K189" s="1961"/>
      <c r="L189" s="2616"/>
      <c r="M189" s="2616"/>
      <c r="N189" s="2618"/>
      <c r="O189" s="2225"/>
      <c r="P189" s="430"/>
      <c r="Q189" s="431"/>
      <c r="R189" s="431" t="s">
        <v>312</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04" customFormat="1" customHeight="1" ht="17.25">
      <c r="A191" s="1953"/>
      <c r="C191" s="1955"/>
      <c r="D191" s="1943"/>
      <c r="E191" s="1960"/>
      <c r="F191" s="1897"/>
      <c r="G191" s="1961"/>
      <c r="H191" s="1943"/>
      <c r="I191" s="1943"/>
      <c r="J191" s="1964"/>
      <c r="K191" s="1961"/>
      <c r="L191" s="1943"/>
      <c r="M191" s="1943"/>
      <c r="N191" s="2161"/>
      <c r="O191" s="1900"/>
      <c r="P191" s="2221"/>
      <c r="Q191" s="2221" t="s">
        <v>136</v>
      </c>
      <c r="R191" s="2615" t="s">
        <v>28</v>
      </c>
      <c r="S191" s="2519" t="s">
        <v>19</v>
      </c>
      <c r="T191" s="1915"/>
      <c r="U191" s="1915" t="s">
        <v>136</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04"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9962" customFormat="1" customHeight="1" ht="17.25">
      <c r="A200" s="1928" t="s">
        <v>2037</v>
      </c>
    </row>
    <row customHeight="1" ht="17.25">
      <c r="G201" s="1952"/>
      <c r="H201" s="1952"/>
      <c r="I201" s="1952"/>
      <c r="M201" s="1948"/>
    </row>
    <row s="5528" customFormat="1" customHeight="1" ht="15">
      <c r="D202" s="2636"/>
      <c r="E202" s="2312"/>
      <c r="F202" s="2312"/>
      <c r="G202" s="2298"/>
      <c r="H202" s="1677"/>
      <c r="I202" s="2640">
        <v>1</v>
      </c>
      <c r="J202" s="2614"/>
      <c r="K202" s="1692"/>
      <c r="L202" s="2298" t="s">
        <v>66</v>
      </c>
      <c r="M202" s="2298" t="s">
        <v>66</v>
      </c>
      <c r="N202" s="1677"/>
      <c r="O202" s="2221" t="s">
        <v>136</v>
      </c>
      <c r="P202" s="2630"/>
      <c r="Q202" s="1693"/>
      <c r="R202" s="2298" t="s">
        <v>66</v>
      </c>
      <c r="S202" s="2298" t="s">
        <v>66</v>
      </c>
      <c r="T202" s="1968"/>
      <c r="U202" s="2221" t="s">
        <v>136</v>
      </c>
      <c r="V202" s="2637" t="str">
        <f>IF(AK202="","",INDEX(TERRITORY_MR_LIST,MATCH(AK202,TERRITORY_LIST_ID,0)))</f>
        <v/>
      </c>
      <c r="W202" s="1694"/>
      <c r="X202" s="2298" t="s">
        <v>66</v>
      </c>
      <c r="Y202" s="2298" t="s">
        <v>19</v>
      </c>
      <c r="Z202" s="1677"/>
      <c r="AA202" s="2221" t="s">
        <v>136</v>
      </c>
      <c r="AB202" s="2639"/>
      <c r="AC202" s="1695"/>
      <c r="AD202" s="2298" t="s">
        <v>66</v>
      </c>
      <c r="AE202" s="2298" t="s">
        <v>19</v>
      </c>
      <c r="AF202" s="1675"/>
      <c r="AG202" s="1924" t="s">
        <v>136</v>
      </c>
      <c r="AH202" s="1685"/>
      <c r="AI202" s="1914"/>
    </row>
    <row s="5528"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2038</v>
      </c>
      <c r="AI203" s="2632"/>
    </row>
    <row s="5528"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2039</v>
      </c>
      <c r="AC204" s="2633"/>
      <c r="AD204" s="2633"/>
      <c r="AE204" s="2633"/>
      <c r="AF204" s="2633"/>
      <c r="AG204" s="2633"/>
      <c r="AH204" s="2633"/>
      <c r="AI204" s="2634"/>
    </row>
    <row s="5528"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139</v>
      </c>
      <c r="W205" s="2631"/>
      <c r="X205" s="2631"/>
      <c r="Y205" s="2631"/>
      <c r="Z205" s="2631"/>
      <c r="AA205" s="2631"/>
      <c r="AB205" s="2631"/>
      <c r="AC205" s="2631"/>
      <c r="AD205" s="2631"/>
      <c r="AE205" s="2631"/>
      <c r="AF205" s="2631"/>
      <c r="AG205" s="2631"/>
      <c r="AH205" s="2631"/>
      <c r="AI205" s="2632"/>
    </row>
    <row s="5528" customFormat="1" customHeight="1" ht="11.25">
      <c r="D206" s="2636"/>
      <c r="E206" s="2312"/>
      <c r="F206" s="2312"/>
      <c r="G206" s="2299"/>
      <c r="H206" s="1681"/>
      <c r="I206" s="2640"/>
      <c r="J206" s="2641"/>
      <c r="K206" s="1676"/>
      <c r="L206" s="2299"/>
      <c r="M206" s="2299"/>
      <c r="N206" s="1681"/>
      <c r="O206" s="1682"/>
      <c r="P206" s="2631" t="s">
        <v>2040</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71" customFormat="1" customHeight="1" ht="11.25">
      <c r="D207" s="2636"/>
      <c r="E207" s="2312"/>
      <c r="F207" s="2312"/>
      <c r="G207" s="2225"/>
      <c r="H207" s="1683"/>
      <c r="I207" s="1684"/>
      <c r="J207" s="2631" t="s">
        <v>361</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28"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28"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28"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28"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28"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71"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AB561-A866-8AFA-9B23-5B9F1EB5BA9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253" width="43.140625"/>
    <col min="2" max="2" style="10253" width="43.140625" hidden="1"/>
    <col min="3" max="3" style="10253" width="43.140625"/>
    <col min="4" max="5" style="10253" width="36.421875" customWidth="1"/>
    <col min="6" max="8" style="10254" width="36.421875" customWidth="1"/>
  </cols>
  <sheetData>
    <row customHeight="1" ht="9">
      <c r="A1" s="959" t="s">
        <v>2041</v>
      </c>
      <c r="B1" s="959"/>
      <c r="C1" s="1095" t="s">
        <v>2042</v>
      </c>
      <c r="D1" s="1093" t="s">
        <v>898</v>
      </c>
      <c r="E1" s="1093" t="s">
        <v>944</v>
      </c>
      <c r="F1" s="1093" t="s">
        <v>997</v>
      </c>
      <c r="G1" s="1093" t="s">
        <v>984</v>
      </c>
      <c r="H1" s="1093" t="s">
        <v>1716</v>
      </c>
    </row>
    <row customHeight="1" ht="9">
      <c r="A2" s="1096" t="s">
        <v>2043</v>
      </c>
      <c r="B2" s="1096"/>
      <c r="C2" s="1097" t="str">
        <f>INDEX(TEMPLATE_NUMBER_FORM_LIST,MATCH(TEMPLATE_SPHERE,TEMPLATE_SPHERE_LIST,0))</f>
        <v>10</v>
      </c>
      <c r="D2" s="1096" t="s">
        <v>110</v>
      </c>
      <c r="E2" s="1096" t="s">
        <v>180</v>
      </c>
      <c r="F2" s="1098" t="s">
        <v>180</v>
      </c>
      <c r="G2" s="1096" t="s">
        <v>180</v>
      </c>
      <c r="H2" s="1099"/>
    </row>
    <row customHeight="1" ht="63">
      <c r="A3" s="959"/>
      <c r="B3" s="959" t="s">
        <v>136</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97" t="s">
        <v>2044</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98"/>
      <c r="G3" s="1099"/>
      <c r="H3" s="959"/>
    </row>
    <row customHeight="1" ht="243">
      <c r="A4" s="959" t="s">
        <v>2045</v>
      </c>
      <c r="B4" s="959" t="s">
        <v>103</v>
      </c>
      <c r="C4" s="1097" t="str">
        <f>IF(TEMPLATE_SPHERE="HEAT",D4,IF(TEMPLATE_SPHERE="TKO",H4,E4))</f>
        <v>Форма 1. Информация об организации, осуществляющей водоотведение (общая информация)</v>
      </c>
      <c r="D4" s="1096" t="s">
        <v>2046</v>
      </c>
      <c r="E4" s="109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96"/>
      <c r="G4" s="1096"/>
      <c r="H4" s="959" t="s">
        <v>2047</v>
      </c>
    </row>
    <row customHeight="1" ht="117">
      <c r="A5" s="959" t="s">
        <v>2048</v>
      </c>
      <c r="B5" s="959" t="s">
        <v>90</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59" t="s">
        <v>2049</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99"/>
      <c r="G5" s="1099"/>
      <c r="H5" s="959" t="s">
        <v>2050</v>
      </c>
    </row>
    <row customHeight="1" ht="90">
      <c r="A6" s="959" t="s">
        <v>2051</v>
      </c>
      <c r="B6" s="959" t="s">
        <v>91</v>
      </c>
      <c r="C6" s="109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59"/>
      <c r="G6" s="959"/>
      <c r="H6" s="1099"/>
    </row>
    <row customHeight="1" ht="45">
      <c r="A7" s="959" t="s">
        <v>2052</v>
      </c>
      <c r="B7" s="959" t="s">
        <v>116</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2053</v>
      </c>
      <c r="E7" s="959" t="s">
        <v>2054</v>
      </c>
      <c r="F7" s="1099"/>
      <c r="G7" s="1099"/>
      <c r="H7" s="1099"/>
    </row>
    <row customHeight="1" ht="108">
      <c r="A8" s="959" t="s">
        <v>2055</v>
      </c>
      <c r="B8" s="959" t="s">
        <v>92</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1254</v>
      </c>
      <c r="E8" s="959" t="s">
        <v>2056</v>
      </c>
      <c r="F8" s="1099"/>
      <c r="G8" s="1099"/>
      <c r="H8" s="1099"/>
    </row>
    <row customHeight="1" ht="99">
      <c r="A9" s="959" t="s">
        <v>2057</v>
      </c>
      <c r="B9" s="959"/>
      <c r="C9" s="959" t="s">
        <v>2058</v>
      </c>
      <c r="D9" s="959"/>
      <c r="E9" s="959"/>
      <c r="F9" s="1099"/>
      <c r="G9" s="1099"/>
      <c r="H9" s="1099"/>
    </row>
    <row customHeight="1" ht="126">
      <c r="A10" s="959" t="s">
        <v>2059</v>
      </c>
      <c r="B10" s="959"/>
      <c r="C10" s="959" t="s">
        <v>2060</v>
      </c>
      <c r="D10" s="959"/>
      <c r="E10" s="959"/>
      <c r="F10" s="1099"/>
      <c r="G10" s="1099"/>
      <c r="H10" s="1099"/>
    </row>
    <row customHeight="1" ht="108">
      <c r="A11" s="959" t="s">
        <v>2061</v>
      </c>
      <c r="B11" s="959"/>
      <c r="C11" s="959" t="s">
        <v>2062</v>
      </c>
      <c r="D11" s="959"/>
      <c r="E11" s="959"/>
      <c r="F11" s="1099"/>
      <c r="G11" s="1099"/>
      <c r="H11" s="1099"/>
    </row>
    <row customHeight="1" ht="54">
      <c r="A12" s="959" t="s">
        <v>2063</v>
      </c>
      <c r="B12" s="959"/>
      <c r="C12" s="959" t="s">
        <v>2064</v>
      </c>
      <c r="D12" s="959"/>
      <c r="E12" s="959"/>
      <c r="F12" s="1099"/>
      <c r="G12" s="1099"/>
      <c r="H12" s="1099"/>
    </row>
    <row customHeight="1" ht="45">
      <c r="A13" s="959" t="s">
        <v>2065</v>
      </c>
      <c r="B13" s="959"/>
      <c r="C13" s="959" t="s">
        <v>2066</v>
      </c>
      <c r="D13" s="959"/>
      <c r="E13" s="959"/>
      <c r="F13" s="1099"/>
      <c r="G13" s="1099"/>
      <c r="H13" s="1099"/>
    </row>
    <row customHeight="1" ht="117">
      <c r="A14" s="959" t="s">
        <v>2067</v>
      </c>
      <c r="B14" s="959"/>
      <c r="C14" s="959" t="s">
        <v>2068</v>
      </c>
      <c r="D14" s="959"/>
      <c r="E14" s="959"/>
      <c r="F14" s="1099"/>
      <c r="G14" s="1099"/>
      <c r="H14" s="1099"/>
    </row>
    <row customHeight="1" ht="117">
      <c r="A15" s="959" t="s">
        <v>2069</v>
      </c>
      <c r="B15" s="959"/>
      <c r="C15" s="959" t="s">
        <v>2070</v>
      </c>
      <c r="D15" s="959"/>
      <c r="E15" s="959"/>
      <c r="F15" s="1099"/>
      <c r="G15" s="1099"/>
      <c r="H15" s="1099"/>
    </row>
    <row customHeight="1" ht="63">
      <c r="A16" s="959" t="s">
        <v>2071</v>
      </c>
      <c r="B16" s="959"/>
      <c r="C16" s="959" t="s">
        <v>2072</v>
      </c>
      <c r="D16" s="959"/>
      <c r="E16" s="959"/>
      <c r="F16" s="1099"/>
      <c r="G16" s="1099"/>
      <c r="H16" s="1099"/>
    </row>
    <row customHeight="1" ht="54">
      <c r="A17" s="959" t="s">
        <v>2073</v>
      </c>
      <c r="B17" s="959"/>
      <c r="C17" s="1097" t="s">
        <v>2074</v>
      </c>
      <c r="D17" s="959"/>
      <c r="E17" s="959"/>
      <c r="F17" s="1099"/>
      <c r="G17" s="1099"/>
      <c r="H17" s="1099"/>
    </row>
    <row customHeight="1" ht="27">
      <c r="A18" s="959" t="s">
        <v>2075</v>
      </c>
      <c r="B18" s="959"/>
      <c r="C18" s="1097" t="s">
        <v>2076</v>
      </c>
      <c r="D18" s="959"/>
      <c r="E18" s="959"/>
      <c r="F18" s="1099"/>
      <c r="G18" s="1099"/>
      <c r="H18" s="1099"/>
    </row>
    <row customHeight="1" ht="54">
      <c r="A19" s="959" t="s">
        <v>2077</v>
      </c>
      <c r="B19" s="959"/>
      <c r="C19" s="1097" t="s">
        <v>2078</v>
      </c>
      <c r="D19" s="959"/>
      <c r="E19" s="959"/>
      <c r="F19" s="1099"/>
      <c r="G19" s="1099"/>
      <c r="H19" s="1099"/>
    </row>
    <row customHeight="1" ht="36">
      <c r="A20" s="959" t="s">
        <v>2079</v>
      </c>
      <c r="B20" s="959"/>
      <c r="C20" s="1097" t="s">
        <v>2080</v>
      </c>
      <c r="D20" s="959"/>
      <c r="E20" s="959"/>
      <c r="F20" s="1099"/>
      <c r="G20" s="1099"/>
      <c r="H20" s="1099"/>
    </row>
    <row customHeight="1" ht="36">
      <c r="A21" s="959" t="s">
        <v>2081</v>
      </c>
      <c r="B21" s="959"/>
      <c r="C21" s="1097" t="s">
        <v>2082</v>
      </c>
      <c r="D21" s="959"/>
      <c r="E21" s="959"/>
      <c r="F21" s="1099"/>
      <c r="G21" s="1099"/>
      <c r="H21" s="1099"/>
    </row>
    <row customHeight="1" ht="27">
      <c r="A22" s="959" t="s">
        <v>2083</v>
      </c>
      <c r="B22" s="959"/>
      <c r="C22" s="1097" t="s">
        <v>2084</v>
      </c>
      <c r="D22" s="959"/>
      <c r="E22" s="959"/>
      <c r="F22" s="1099"/>
      <c r="G22" s="1099"/>
      <c r="H22" s="1099"/>
    </row>
    <row customHeight="1" ht="36">
      <c r="A23" s="959" t="s">
        <v>2085</v>
      </c>
      <c r="B23" s="959"/>
      <c r="C23" s="1097" t="s">
        <v>2086</v>
      </c>
      <c r="D23" s="959"/>
      <c r="E23" s="959"/>
      <c r="F23" s="1099"/>
      <c r="G23" s="1099"/>
      <c r="H23" s="1099"/>
    </row>
    <row customHeight="1" ht="28.5">
      <c r="A24" s="959" t="s">
        <v>2087</v>
      </c>
      <c r="B24" s="959"/>
      <c r="C24" s="1097" t="s">
        <v>2088</v>
      </c>
      <c r="D24" s="959"/>
      <c r="E24" s="959"/>
      <c r="F24" s="1099"/>
      <c r="G24" s="1099"/>
      <c r="H24" s="1099"/>
    </row>
    <row customHeight="1" ht="36">
      <c r="A25" s="959" t="s">
        <v>2089</v>
      </c>
      <c r="B25" s="959"/>
      <c r="C25" s="1097" t="s">
        <v>2090</v>
      </c>
      <c r="D25" s="959"/>
      <c r="E25" s="959"/>
      <c r="F25" s="1099"/>
      <c r="G25" s="1099"/>
      <c r="H25" s="1099"/>
    </row>
    <row customHeight="1" ht="27">
      <c r="A26" s="959" t="s">
        <v>2091</v>
      </c>
      <c r="B26" s="959"/>
      <c r="C26" s="1097" t="s">
        <v>2092</v>
      </c>
      <c r="D26" s="959"/>
      <c r="E26" s="959"/>
      <c r="F26" s="1099"/>
      <c r="G26" s="1099"/>
      <c r="H26" s="1099"/>
    </row>
    <row customHeight="1" ht="36">
      <c r="A27" s="959" t="s">
        <v>2093</v>
      </c>
      <c r="B27" s="959"/>
      <c r="C27" s="1097" t="s">
        <v>2094</v>
      </c>
      <c r="D27" s="959"/>
      <c r="E27" s="959"/>
      <c r="F27" s="1099"/>
      <c r="G27" s="1099"/>
      <c r="H27" s="1099"/>
    </row>
    <row customHeight="1" ht="28.5">
      <c r="A28" s="959" t="s">
        <v>2095</v>
      </c>
      <c r="B28" s="959"/>
      <c r="C28" s="1097" t="s">
        <v>2096</v>
      </c>
      <c r="D28" s="959"/>
      <c r="E28" s="959"/>
      <c r="F28" s="1099"/>
      <c r="G28" s="1099"/>
      <c r="H28" s="1099"/>
    </row>
    <row customHeight="1" ht="126">
      <c r="A29" s="959" t="s">
        <v>2097</v>
      </c>
      <c r="B29" s="959" t="s">
        <v>1667</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59" t="s">
        <v>2098</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99"/>
      <c r="G29" s="1099"/>
      <c r="H29" s="959" t="s">
        <v>2099</v>
      </c>
    </row>
    <row customHeight="1" ht="36">
      <c r="A30" s="959" t="s">
        <v>2100</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59" t="s">
        <v>2101</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99"/>
      <c r="G30" s="1099"/>
      <c r="H30" s="1099"/>
    </row>
    <row customHeight="1" ht="54">
      <c r="A31" s="959" t="s">
        <v>2102</v>
      </c>
      <c r="B31" s="959"/>
      <c r="C31" s="1097" t="str">
        <f>IF(TEMPLATE_SPHERE="HEAT",D31,IF(TEMPLATE_SPHERE="TKO",H31,E31))</f>
        <v>Форма 1. Информация об организации, осуществляющей водоотведение (общая информация)</v>
      </c>
      <c r="D31" s="959" t="s">
        <v>2103</v>
      </c>
      <c r="E31" s="96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99"/>
      <c r="G31" s="1099"/>
      <c r="H31" s="1099"/>
    </row>
    <row customHeight="1" ht="198">
      <c r="A32" s="959" t="s">
        <v>2104</v>
      </c>
      <c r="B32" s="959"/>
      <c r="C32" s="1097" t="str">
        <f>IF(TEMPLATE_SPHERE="HEAT",D32,IF(TEMPLATE_SPHERE="TKO",H32,E32))</f>
        <v>Форма 7. Информация об инвестиционных программах организации водоотведения и отчетах об их исполнении</v>
      </c>
      <c r="D32" s="959" t="s">
        <v>2105</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99"/>
      <c r="G32" s="1099"/>
      <c r="H32" s="959" t="s">
        <v>2106</v>
      </c>
    </row>
    <row customHeight="1" ht="9">
      <c r="A33" s="959"/>
      <c r="B33" s="959"/>
      <c r="C33" s="1097"/>
      <c r="D33" s="959"/>
      <c r="E33" s="959"/>
      <c r="F33" s="1099"/>
      <c r="G33" s="1099"/>
      <c r="H33" s="1099"/>
    </row>
    <row customHeight="1" ht="9">
      <c r="A34" s="959"/>
      <c r="B34" s="959" t="s">
        <v>1603</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B712E37-E47C-4BE8-DBC5-70591E0F41C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253" width="9.140625"/>
    <col min="3" max="7" style="10297" width="8.00390625" customWidth="1"/>
    <col min="8" max="12" style="10297" width="8.57421875" customWidth="1"/>
    <col min="13" max="14" style="10297" width="27.7109375" customWidth="1"/>
    <col min="15" max="19" style="10297" width="5.140625" customWidth="1"/>
    <col min="20" max="24" style="10297" width="27.7109375" customWidth="1"/>
    <col min="25" max="25" style="10298" width="1.8515625" customWidth="1"/>
    <col min="26" max="26" style="10253" width="27.7109375" customWidth="1"/>
    <col min="27" max="27" style="10299" width="27.7109375" customWidth="1"/>
    <col min="28" max="29" style="10253" width="27.7109375" customWidth="1"/>
    <col min="30" max="30" style="10253" width="3.8515625" customWidth="1"/>
    <col min="31" max="34" style="10253" width="9.140625"/>
  </cols>
  <sheetData>
    <row s="10255" customFormat="1" customHeight="1" ht="18">
      <c r="A1" s="1011"/>
      <c r="B1" s="1011"/>
      <c r="C1" s="1011" t="s">
        <v>2107</v>
      </c>
      <c r="D1" s="1011"/>
      <c r="E1" s="1011"/>
      <c r="F1" s="1011"/>
      <c r="G1" s="1011"/>
      <c r="H1" s="1011" t="s">
        <v>2108</v>
      </c>
      <c r="I1" s="1011"/>
      <c r="J1" s="1011"/>
      <c r="K1" s="1011"/>
      <c r="L1" s="1011"/>
      <c r="M1" s="1011" t="s">
        <v>2109</v>
      </c>
      <c r="N1" s="1011" t="s">
        <v>2110</v>
      </c>
      <c r="O1" s="2705" t="s">
        <v>2111</v>
      </c>
      <c r="P1" s="2705"/>
      <c r="Q1" s="2705"/>
      <c r="R1" s="2705"/>
      <c r="S1" s="2705"/>
      <c r="T1" s="2705" t="s">
        <v>2109</v>
      </c>
      <c r="U1" s="2705"/>
      <c r="V1" s="2705"/>
      <c r="W1" s="2705"/>
      <c r="X1" s="2705"/>
      <c r="Y1" s="1112"/>
      <c r="Z1" s="2705" t="s">
        <v>2112</v>
      </c>
      <c r="AA1" s="2705"/>
      <c r="AB1" s="2705"/>
      <c r="AC1" s="2705"/>
      <c r="AD1" s="2705"/>
    </row>
    <row customHeight="1" ht="18">
      <c r="A2" s="959"/>
      <c r="B2" s="959"/>
      <c r="C2" s="954" t="s">
        <v>898</v>
      </c>
      <c r="D2" s="954" t="s">
        <v>944</v>
      </c>
      <c r="E2" s="954" t="s">
        <v>997</v>
      </c>
      <c r="F2" s="954" t="s">
        <v>984</v>
      </c>
      <c r="G2" s="954" t="s">
        <v>1716</v>
      </c>
      <c r="H2" s="956"/>
      <c r="I2" s="956"/>
      <c r="J2" s="956"/>
      <c r="K2" s="956"/>
      <c r="L2" s="956"/>
      <c r="M2" s="956"/>
      <c r="N2" s="956"/>
      <c r="O2" s="954" t="s">
        <v>898</v>
      </c>
      <c r="P2" s="954" t="s">
        <v>944</v>
      </c>
      <c r="Q2" s="954" t="s">
        <v>984</v>
      </c>
      <c r="R2" s="954" t="s">
        <v>997</v>
      </c>
      <c r="S2" s="954" t="s">
        <v>1716</v>
      </c>
      <c r="T2" s="954" t="s">
        <v>898</v>
      </c>
      <c r="U2" s="954" t="s">
        <v>944</v>
      </c>
      <c r="V2" s="954" t="s">
        <v>984</v>
      </c>
      <c r="W2" s="954" t="s">
        <v>997</v>
      </c>
      <c r="X2" s="954" t="s">
        <v>1716</v>
      </c>
      <c r="Y2" s="954"/>
      <c r="Z2" s="954" t="s">
        <v>898</v>
      </c>
      <c r="AA2" s="963" t="s">
        <v>944</v>
      </c>
      <c r="AB2" s="954" t="s">
        <v>984</v>
      </c>
      <c r="AC2" s="954" t="s">
        <v>997</v>
      </c>
      <c r="AD2" s="954" t="s">
        <v>1716</v>
      </c>
    </row>
    <row customHeight="1" ht="162">
      <c r="A3" s="958" t="s">
        <v>26</v>
      </c>
      <c r="B3" s="958"/>
      <c r="C3" s="2709" t="s">
        <v>2113</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56"/>
      <c r="P3" s="956"/>
      <c r="Q3" s="956"/>
      <c r="R3" s="956"/>
      <c r="S3" s="956"/>
      <c r="T3" s="956"/>
      <c r="U3" s="956"/>
      <c r="V3" s="956"/>
      <c r="W3" s="956"/>
      <c r="X3" s="956"/>
      <c r="Y3" s="1113"/>
      <c r="Z3" s="959" t="s">
        <v>2114</v>
      </c>
      <c r="AA3" s="956" t="s">
        <v>2115</v>
      </c>
      <c r="AB3" s="959" t="s">
        <v>2116</v>
      </c>
      <c r="AC3" s="959" t="s">
        <v>2117</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1654</v>
      </c>
      <c r="D11" s="2712" t="s">
        <v>1650</v>
      </c>
      <c r="E11" s="2712" t="s">
        <v>1748</v>
      </c>
      <c r="F11" s="2712" t="s">
        <v>2118</v>
      </c>
      <c r="G11" s="2712"/>
      <c r="H11" s="1011" t="s">
        <v>2119</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56"/>
      <c r="P11" s="956"/>
      <c r="Q11" s="956"/>
      <c r="R11" s="956"/>
      <c r="S11" s="956"/>
      <c r="T11" s="956" t="s">
        <v>2120</v>
      </c>
      <c r="U11" s="956" t="s">
        <v>2121</v>
      </c>
      <c r="V11" s="956"/>
      <c r="W11" s="956"/>
      <c r="X11" s="956"/>
      <c r="Y11" s="1113"/>
      <c r="Z11" s="959" t="s">
        <v>2122</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59"/>
      <c r="AC11" s="959"/>
      <c r="AD11" s="959"/>
    </row>
    <row customHeight="1" ht="45">
      <c r="A12" s="2706"/>
      <c r="B12" s="1012">
        <v>2</v>
      </c>
      <c r="C12" s="2713"/>
      <c r="D12" s="2713"/>
      <c r="E12" s="2713"/>
      <c r="F12" s="2713"/>
      <c r="G12" s="2713"/>
      <c r="H12" s="1011" t="s">
        <v>2123</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56"/>
      <c r="P12" s="956"/>
      <c r="Q12" s="956"/>
      <c r="R12" s="956"/>
      <c r="S12" s="956"/>
      <c r="T12" s="956" t="s">
        <v>2124</v>
      </c>
      <c r="U12" s="956" t="s">
        <v>2125</v>
      </c>
      <c r="V12" s="956"/>
      <c r="W12" s="956"/>
      <c r="X12" s="956"/>
      <c r="Y12" s="1113"/>
      <c r="Z12" s="959" t="s">
        <v>2126</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59"/>
      <c r="AC12" s="959"/>
      <c r="AD12" s="959"/>
    </row>
    <row customHeight="1" ht="72">
      <c r="A13" s="2706"/>
      <c r="B13" s="1012">
        <v>3</v>
      </c>
      <c r="C13" s="2713"/>
      <c r="D13" s="2713"/>
      <c r="E13" s="2713"/>
      <c r="F13" s="2713"/>
      <c r="G13" s="2713"/>
      <c r="H13" s="2705" t="s">
        <v>2127</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56"/>
      <c r="P13" s="957"/>
      <c r="Q13" s="957"/>
      <c r="R13" s="957"/>
      <c r="S13" s="956"/>
      <c r="T13" s="956" t="s">
        <v>2128</v>
      </c>
      <c r="U13" s="957" t="s">
        <v>2129</v>
      </c>
      <c r="V13" s="957"/>
      <c r="W13" s="957"/>
      <c r="X13" s="956"/>
      <c r="Y13" s="1113"/>
      <c r="Z13" s="959" t="s">
        <v>2130</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2131</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57"/>
      <c r="W14" s="957"/>
      <c r="X14" s="956"/>
      <c r="Y14" s="1113"/>
      <c r="Z14" s="959" t="s">
        <v>2132</v>
      </c>
      <c r="AA14" s="962" t="s">
        <v>2132</v>
      </c>
      <c r="AB14" s="959"/>
      <c r="AC14" s="959"/>
      <c r="AD14" s="959"/>
    </row>
    <row customHeight="1" ht="108">
      <c r="A15" s="2706"/>
      <c r="B15" s="1012">
        <v>5</v>
      </c>
      <c r="C15" s="2713"/>
      <c r="D15" s="2713"/>
      <c r="E15" s="2713"/>
      <c r="F15" s="2713"/>
      <c r="G15" s="2713"/>
      <c r="H15" s="2707" t="s">
        <v>2133</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56"/>
      <c r="P15" s="957"/>
      <c r="Q15" s="957"/>
      <c r="R15" s="957"/>
      <c r="S15" s="956"/>
      <c r="T15" s="956" t="s">
        <v>2134</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57"/>
      <c r="W15" s="957"/>
      <c r="X15" s="956"/>
      <c r="Y15" s="1113"/>
      <c r="Z15" s="959" t="s">
        <v>2135</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56"/>
      <c r="P16" s="957"/>
      <c r="Q16" s="957"/>
      <c r="R16" s="957"/>
      <c r="S16" s="956"/>
      <c r="T16" s="956"/>
      <c r="U16" s="957"/>
      <c r="V16" s="957"/>
      <c r="W16" s="957"/>
      <c r="X16" s="956"/>
      <c r="Y16" s="1113"/>
      <c r="Z16" s="959" t="s">
        <v>2135</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1751</v>
      </c>
      <c r="B18" s="1012">
        <v>1</v>
      </c>
      <c r="C18" s="956" t="s">
        <v>2119</v>
      </c>
      <c r="D18" s="1080" t="s">
        <v>2119</v>
      </c>
      <c r="E18" s="956" t="s">
        <v>2119</v>
      </c>
      <c r="F18" s="956" t="s">
        <v>2119</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водоотведения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водоотведения</v>
      </c>
      <c r="N18" s="957" t="str">
        <f>IF(K18=0,"",K18)</f>
        <v>Указывается выручка с распределением по видам деятельности.</v>
      </c>
      <c r="O18" s="1070">
        <v>1</v>
      </c>
      <c r="P18" s="1070">
        <v>1</v>
      </c>
      <c r="Q18" s="1070">
        <v>1</v>
      </c>
      <c r="R18" s="1070">
        <v>1</v>
      </c>
      <c r="S18" s="1070"/>
      <c r="T18" s="1077" t="s">
        <v>2136</v>
      </c>
      <c r="U18" s="959" t="s">
        <v>2137</v>
      </c>
      <c r="V18" s="959" t="s">
        <v>2138</v>
      </c>
      <c r="W18" s="959" t="s">
        <v>2139</v>
      </c>
      <c r="X18" s="956"/>
      <c r="Y18" s="1113"/>
      <c r="Z18" s="959" t="s">
        <v>2140</v>
      </c>
      <c r="AA18" s="962" t="s">
        <v>2141</v>
      </c>
      <c r="AB18" s="962" t="s">
        <v>2141</v>
      </c>
      <c r="AC18" s="962" t="s">
        <v>2141</v>
      </c>
      <c r="AD18" s="959"/>
    </row>
    <row customHeight="1" ht="36">
      <c r="A19" s="958"/>
      <c r="B19" s="1012">
        <v>2</v>
      </c>
      <c r="C19" s="956" t="s">
        <v>2123</v>
      </c>
      <c r="D19" s="1080" t="s">
        <v>2123</v>
      </c>
      <c r="E19" s="956" t="s">
        <v>2123</v>
      </c>
      <c r="F19" s="956" t="s">
        <v>2123</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водоотведения, включая:</v>
      </c>
      <c r="N19" s="957" t="str">
        <f>IF(K19=0,"",K19)</f>
        <v>Указывается суммарная себестоимость производимых товаров.</v>
      </c>
      <c r="O19" s="1070">
        <v>2</v>
      </c>
      <c r="P19" s="1070">
        <v>2</v>
      </c>
      <c r="Q19" s="1070">
        <v>2</v>
      </c>
      <c r="R19" s="1070">
        <v>2</v>
      </c>
      <c r="S19" s="1070"/>
      <c r="T19" s="1077" t="s">
        <v>2142</v>
      </c>
      <c r="U19" s="959" t="s">
        <v>2143</v>
      </c>
      <c r="V19" s="959" t="s">
        <v>2144</v>
      </c>
      <c r="W19" s="959" t="s">
        <v>2145</v>
      </c>
      <c r="X19" s="956"/>
      <c r="Y19" s="1113"/>
      <c r="Z19" s="959" t="s">
        <v>2146</v>
      </c>
      <c r="AA19" s="962" t="s">
        <v>2146</v>
      </c>
      <c r="AB19" s="962" t="s">
        <v>2146</v>
      </c>
      <c r="AC19" s="962" t="s">
        <v>2146</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услуг по приему, транспортировке и очистке сточных вод другими организациями</v>
      </c>
      <c r="K20" s="1118">
        <f>INDEX(TEMPLATE_NOTE_POINT_FHD,B20,MATCH(TEMPLATE_SPHERE,TEMPLATE_SPHERE_LIST_FOR_NOTE,0))</f>
        <v>0</v>
      </c>
      <c r="L20" s="957" t="str">
        <f>IF(I20=0,"",I20)</f>
        <v>2.1</v>
      </c>
      <c r="M20" s="957" t="str">
        <f>IF(J20=0,"",J20)</f>
        <v>Расходы на оплату услуг по приему, транспортировке и очистке сточных вод другими организациями</v>
      </c>
      <c r="N20" s="957" t="str">
        <f>IF(K20=0,"",K20)</f>
        <v/>
      </c>
      <c r="O20" s="1070" t="s">
        <v>799</v>
      </c>
      <c r="P20" s="1070" t="s">
        <v>799</v>
      </c>
      <c r="Q20" s="1070" t="s">
        <v>799</v>
      </c>
      <c r="R20" s="1070" t="s">
        <v>799</v>
      </c>
      <c r="S20" s="1070"/>
      <c r="T20" s="1077" t="s">
        <v>2147</v>
      </c>
      <c r="U20" s="959" t="s">
        <v>2148</v>
      </c>
      <c r="V20" s="959" t="s">
        <v>2149</v>
      </c>
      <c r="W20" s="959" t="s">
        <v>2150</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400</v>
      </c>
      <c r="P21" s="1070"/>
      <c r="Q21" s="1070"/>
      <c r="R21" s="1070"/>
      <c r="S21" s="1070"/>
      <c r="T21" s="1077" t="s">
        <v>2151</v>
      </c>
      <c r="U21" s="959"/>
      <c r="V21" s="959"/>
      <c r="W21" s="959"/>
      <c r="X21" s="956"/>
      <c r="Y21" s="1113"/>
      <c r="Z21" s="959" t="s">
        <v>2152</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400</v>
      </c>
      <c r="R22" s="1070"/>
      <c r="S22" s="1070"/>
      <c r="T22" s="1077"/>
      <c r="U22" s="959"/>
      <c r="V22" s="959" t="s">
        <v>2153</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403</v>
      </c>
      <c r="R23" s="1070"/>
      <c r="S23" s="1070"/>
      <c r="T23" s="1077"/>
      <c r="U23" s="959"/>
      <c r="V23" s="959" t="s">
        <v>2154</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819</v>
      </c>
      <c r="R24" s="1070"/>
      <c r="S24" s="1070"/>
      <c r="T24" s="1077"/>
      <c r="U24" s="959"/>
      <c r="V24" s="959" t="s">
        <v>2155</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403</v>
      </c>
      <c r="P25" s="1070" t="s">
        <v>400</v>
      </c>
      <c r="Q25" s="1070" t="s">
        <v>826</v>
      </c>
      <c r="R25" s="1070" t="s">
        <v>400</v>
      </c>
      <c r="S25" s="1070"/>
      <c r="T25" s="1077" t="s">
        <v>2156</v>
      </c>
      <c r="U25" s="959" t="s">
        <v>2156</v>
      </c>
      <c r="V25" s="959" t="s">
        <v>2156</v>
      </c>
      <c r="W25" s="959" t="s">
        <v>2156</v>
      </c>
      <c r="X25" s="956"/>
      <c r="Y25" s="1113"/>
      <c r="Z25" s="959"/>
      <c r="AA25" s="962"/>
      <c r="AB25" s="959"/>
      <c r="AC25" s="959"/>
      <c r="AD25" s="959"/>
    </row>
    <row customHeight="1" ht="18">
      <c r="A26" s="958"/>
      <c r="B26" s="1012">
        <v>9</v>
      </c>
      <c r="C26" s="956" t="s">
        <v>743</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815</v>
      </c>
      <c r="P26" s="1070" t="s">
        <v>809</v>
      </c>
      <c r="Q26" s="1070" t="s">
        <v>2157</v>
      </c>
      <c r="R26" s="1070" t="s">
        <v>809</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2158</v>
      </c>
      <c r="V26" s="1077" t="s">
        <v>2158</v>
      </c>
      <c r="W26" s="1077" t="s">
        <v>2158</v>
      </c>
      <c r="X26" s="956"/>
      <c r="Y26" s="1113"/>
      <c r="Z26" s="959"/>
      <c r="AA26" s="962"/>
      <c r="AB26" s="959"/>
      <c r="AC26" s="959"/>
      <c r="AD26" s="959"/>
    </row>
    <row customHeight="1" ht="18">
      <c r="A27" s="958"/>
      <c r="B27" s="1012">
        <v>10</v>
      </c>
      <c r="C27" s="956" t="s">
        <v>747</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817</v>
      </c>
      <c r="P27" s="1070" t="s">
        <v>811</v>
      </c>
      <c r="Q27" s="1070" t="s">
        <v>2159</v>
      </c>
      <c r="R27" s="1070" t="s">
        <v>811</v>
      </c>
      <c r="S27" s="1070"/>
      <c r="T27" s="1077" t="s">
        <v>2160</v>
      </c>
      <c r="U27" s="1077" t="s">
        <v>2160</v>
      </c>
      <c r="V27" s="1077" t="s">
        <v>2160</v>
      </c>
      <c r="W27" s="1077" t="s">
        <v>2160</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819</v>
      </c>
      <c r="P28" s="1070"/>
      <c r="Q28" s="1070"/>
      <c r="R28" s="1070"/>
      <c r="S28" s="1070"/>
      <c r="T28" s="1077" t="s">
        <v>2161</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826</v>
      </c>
      <c r="P29" s="1070" t="s">
        <v>403</v>
      </c>
      <c r="Q29" s="1070"/>
      <c r="R29" s="1070" t="s">
        <v>403</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2162</v>
      </c>
      <c r="V29" s="959"/>
      <c r="W29" s="959" t="s">
        <v>2162</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828</v>
      </c>
      <c r="P30" s="1070" t="s">
        <v>819</v>
      </c>
      <c r="Q30" s="1070" t="s">
        <v>828</v>
      </c>
      <c r="R30" s="1070" t="s">
        <v>819</v>
      </c>
      <c r="S30" s="1070"/>
      <c r="T30" s="1077" t="s">
        <v>2163</v>
      </c>
      <c r="U30" s="959" t="s">
        <v>2163</v>
      </c>
      <c r="V30" s="959" t="s">
        <v>2163</v>
      </c>
      <c r="W30" s="959" t="s">
        <v>2163</v>
      </c>
      <c r="X30" s="956"/>
      <c r="Y30" s="1113"/>
      <c r="Z30" s="959"/>
      <c r="AA30" s="962" t="s">
        <v>2164</v>
      </c>
      <c r="AB30" s="962" t="s">
        <v>2164</v>
      </c>
      <c r="AC30" s="962" t="s">
        <v>2164</v>
      </c>
      <c r="AD30" s="959"/>
    </row>
    <row customHeight="1" ht="18">
      <c r="A31" s="958"/>
      <c r="B31" s="1012">
        <v>14</v>
      </c>
      <c r="C31" s="956" t="s">
        <v>2165</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2166</v>
      </c>
      <c r="P31" s="1070" t="s">
        <v>822</v>
      </c>
      <c r="Q31" s="1070" t="s">
        <v>2166</v>
      </c>
      <c r="R31" s="1070" t="s">
        <v>822</v>
      </c>
      <c r="S31" s="1070"/>
      <c r="T31" s="1078" t="s">
        <v>2167</v>
      </c>
      <c r="U31" s="959" t="s">
        <v>2167</v>
      </c>
      <c r="V31" s="959" t="s">
        <v>2167</v>
      </c>
      <c r="W31" s="959" t="s">
        <v>2167</v>
      </c>
      <c r="X31" s="956"/>
      <c r="Y31" s="1113"/>
      <c r="Z31" s="959"/>
      <c r="AA31" s="962"/>
      <c r="AB31" s="962"/>
      <c r="AC31" s="962"/>
      <c r="AD31" s="959"/>
    </row>
    <row customHeight="1" ht="36">
      <c r="A32" s="958"/>
      <c r="B32" s="1012">
        <v>15</v>
      </c>
      <c r="C32" s="956" t="s">
        <v>2168</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2169</v>
      </c>
      <c r="P32" s="1070" t="s">
        <v>824</v>
      </c>
      <c r="Q32" s="1070" t="s">
        <v>2169</v>
      </c>
      <c r="R32" s="1070" t="s">
        <v>824</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2170</v>
      </c>
      <c r="V32" s="959" t="s">
        <v>2170</v>
      </c>
      <c r="W32" s="959" t="s">
        <v>2170</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830</v>
      </c>
      <c r="P33" s="1070" t="s">
        <v>826</v>
      </c>
      <c r="Q33" s="1070" t="s">
        <v>830</v>
      </c>
      <c r="R33" s="1070" t="s">
        <v>826</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2171</v>
      </c>
      <c r="V33" s="959" t="s">
        <v>2171</v>
      </c>
      <c r="W33" s="959" t="s">
        <v>2172</v>
      </c>
      <c r="X33" s="956"/>
      <c r="Y33" s="1113"/>
      <c r="Z33" s="959"/>
      <c r="AA33" s="962" t="s">
        <v>2173</v>
      </c>
      <c r="AB33" s="962" t="s">
        <v>2173</v>
      </c>
      <c r="AC33" s="962" t="s">
        <v>2173</v>
      </c>
      <c r="AD33" s="959"/>
    </row>
    <row customHeight="1" ht="27">
      <c r="A34" s="958"/>
      <c r="B34" s="1012">
        <v>17</v>
      </c>
      <c r="C34" s="956" t="s">
        <v>2174</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 в том числе:</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 в том числе:</v>
      </c>
      <c r="N34" s="957" t="str">
        <f>IF(K34=0,"",K34)</f>
        <v/>
      </c>
      <c r="O34" s="1070" t="s">
        <v>2175</v>
      </c>
      <c r="P34" s="1070" t="s">
        <v>2157</v>
      </c>
      <c r="Q34" s="1070" t="s">
        <v>2175</v>
      </c>
      <c r="R34" s="1070" t="s">
        <v>2157</v>
      </c>
      <c r="S34" s="1070"/>
      <c r="T34" s="1079" t="s">
        <v>2176</v>
      </c>
      <c r="U34" s="959" t="s">
        <v>2176</v>
      </c>
      <c r="V34" s="959" t="s">
        <v>2176</v>
      </c>
      <c r="W34" s="959" t="s">
        <v>2177</v>
      </c>
      <c r="X34" s="956"/>
      <c r="Y34" s="1113"/>
      <c r="Z34" s="959"/>
      <c r="AA34" s="962"/>
      <c r="AB34" s="959"/>
      <c r="AC34" s="959"/>
      <c r="AD34" s="959"/>
    </row>
    <row customHeight="1" ht="45">
      <c r="A35" s="958"/>
      <c r="B35" s="1012">
        <v>18</v>
      </c>
      <c r="C35" s="956" t="s">
        <v>2178</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2179</v>
      </c>
      <c r="P35" s="1070" t="s">
        <v>2159</v>
      </c>
      <c r="Q35" s="1070" t="s">
        <v>2179</v>
      </c>
      <c r="R35" s="1070" t="s">
        <v>2159</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2180</v>
      </c>
      <c r="V35" s="959" t="s">
        <v>2180</v>
      </c>
      <c r="W35" s="959" t="s">
        <v>2180</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832</v>
      </c>
      <c r="P36" s="1070" t="s">
        <v>828</v>
      </c>
      <c r="Q36" s="1070" t="s">
        <v>832</v>
      </c>
      <c r="R36" s="1070" t="s">
        <v>828</v>
      </c>
      <c r="S36" s="1070"/>
      <c r="T36" s="1077" t="s">
        <v>2181</v>
      </c>
      <c r="U36" s="959" t="s">
        <v>2181</v>
      </c>
      <c r="V36" s="959" t="s">
        <v>2181</v>
      </c>
      <c r="W36" s="959" t="s">
        <v>2181</v>
      </c>
      <c r="X36" s="956"/>
      <c r="Y36" s="1113"/>
      <c r="Z36" s="959"/>
      <c r="AA36" s="962"/>
      <c r="AB36" s="959"/>
      <c r="AC36" s="959"/>
      <c r="AD36" s="959"/>
    </row>
    <row customHeight="1" ht="18">
      <c r="A37" s="958"/>
      <c r="B37" s="1012">
        <v>20</v>
      </c>
      <c r="C37" s="956" t="s">
        <v>2182</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2183</v>
      </c>
      <c r="P37" s="1070" t="s">
        <v>2166</v>
      </c>
      <c r="Q37" s="1070" t="s">
        <v>2183</v>
      </c>
      <c r="R37" s="1070" t="s">
        <v>2166</v>
      </c>
      <c r="S37" s="1070"/>
      <c r="T37" s="1077" t="s">
        <v>2184</v>
      </c>
      <c r="U37" s="959" t="s">
        <v>2184</v>
      </c>
      <c r="V37" s="959" t="s">
        <v>2184</v>
      </c>
      <c r="W37" s="959" t="s">
        <v>2184</v>
      </c>
      <c r="X37" s="956"/>
      <c r="Y37" s="1113"/>
      <c r="Z37" s="959"/>
      <c r="AA37" s="962"/>
      <c r="AB37" s="959"/>
      <c r="AC37" s="959"/>
      <c r="AD37" s="959"/>
    </row>
    <row customHeight="1" ht="18">
      <c r="A38" s="958"/>
      <c r="B38" s="1012">
        <v>21</v>
      </c>
      <c r="C38" s="956" t="s">
        <v>2185</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2186</v>
      </c>
      <c r="P38" s="1070" t="s">
        <v>2169</v>
      </c>
      <c r="Q38" s="1070" t="s">
        <v>2186</v>
      </c>
      <c r="R38" s="1070" t="s">
        <v>2169</v>
      </c>
      <c r="S38" s="1070"/>
      <c r="T38" s="1077" t="s">
        <v>2187</v>
      </c>
      <c r="U38" s="959" t="s">
        <v>2187</v>
      </c>
      <c r="V38" s="959" t="s">
        <v>2187</v>
      </c>
      <c r="W38" s="959" t="s">
        <v>2187</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водоотведения</v>
      </c>
      <c r="N39" s="957" t="str">
        <f>IF(K39=0,"",K39)</f>
        <v/>
      </c>
      <c r="O39" s="1070" t="s">
        <v>836</v>
      </c>
      <c r="P39" s="1070" t="s">
        <v>830</v>
      </c>
      <c r="Q39" s="1070" t="s">
        <v>836</v>
      </c>
      <c r="R39" s="1070" t="s">
        <v>830</v>
      </c>
      <c r="S39" s="1070"/>
      <c r="T39" s="1077" t="s">
        <v>2188</v>
      </c>
      <c r="U39" s="959" t="s">
        <v>2189</v>
      </c>
      <c r="V39" s="959" t="s">
        <v>2190</v>
      </c>
      <c r="W39" s="959" t="s">
        <v>2191</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2192</v>
      </c>
      <c r="P40" s="1070" t="s">
        <v>832</v>
      </c>
      <c r="Q40" s="1070" t="s">
        <v>2192</v>
      </c>
      <c r="R40" s="1070" t="s">
        <v>832</v>
      </c>
      <c r="S40" s="1070"/>
      <c r="T40" s="956" t="s">
        <v>2193</v>
      </c>
      <c r="U40" s="956" t="s">
        <v>2193</v>
      </c>
      <c r="V40" s="956" t="s">
        <v>2193</v>
      </c>
      <c r="W40" s="956" t="s">
        <v>2193</v>
      </c>
      <c r="X40" s="956"/>
      <c r="Y40" s="1113"/>
      <c r="Z40" s="959" t="s">
        <v>2194</v>
      </c>
      <c r="AA40" s="962" t="s">
        <v>2194</v>
      </c>
      <c r="AB40" s="962" t="s">
        <v>2194</v>
      </c>
      <c r="AC40" s="962" t="s">
        <v>2194</v>
      </c>
      <c r="AD40" s="959"/>
    </row>
    <row customHeight="1" ht="27">
      <c r="A41" s="958"/>
      <c r="B41" s="1012">
        <v>24</v>
      </c>
      <c r="C41" s="956" t="s">
        <v>2195</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2196</v>
      </c>
      <c r="P41" s="1070" t="s">
        <v>2183</v>
      </c>
      <c r="Q41" s="1070" t="s">
        <v>2196</v>
      </c>
      <c r="R41" s="1070" t="s">
        <v>2183</v>
      </c>
      <c r="S41" s="1070"/>
      <c r="T41" s="956" t="s">
        <v>2197</v>
      </c>
      <c r="U41" s="956" t="s">
        <v>2197</v>
      </c>
      <c r="V41" s="956" t="s">
        <v>2197</v>
      </c>
      <c r="W41" s="956" t="s">
        <v>2197</v>
      </c>
      <c r="X41" s="956"/>
      <c r="Y41" s="1113"/>
      <c r="Z41" s="959" t="s">
        <v>2198</v>
      </c>
      <c r="AA41" s="959" t="s">
        <v>2198</v>
      </c>
      <c r="AB41" s="959" t="s">
        <v>2198</v>
      </c>
      <c r="AC41" s="959" t="s">
        <v>2198</v>
      </c>
      <c r="AD41" s="959"/>
    </row>
    <row customHeight="1" ht="27">
      <c r="A42" s="958"/>
      <c r="B42" s="1012">
        <v>25</v>
      </c>
      <c r="C42" s="956" t="s">
        <v>2199</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2200</v>
      </c>
      <c r="P42" s="1070" t="s">
        <v>2186</v>
      </c>
      <c r="Q42" s="1070" t="s">
        <v>2200</v>
      </c>
      <c r="R42" s="1070" t="s">
        <v>2186</v>
      </c>
      <c r="S42" s="1070"/>
      <c r="T42" s="956" t="s">
        <v>2201</v>
      </c>
      <c r="U42" s="956" t="s">
        <v>2201</v>
      </c>
      <c r="V42" s="956" t="s">
        <v>2201</v>
      </c>
      <c r="W42" s="956" t="s">
        <v>2201</v>
      </c>
      <c r="X42" s="956"/>
      <c r="Y42" s="1113"/>
      <c r="Z42" s="959" t="s">
        <v>2202</v>
      </c>
      <c r="AA42" s="959" t="s">
        <v>2202</v>
      </c>
      <c r="AB42" s="959" t="s">
        <v>2202</v>
      </c>
      <c r="AC42" s="959" t="s">
        <v>2202</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2203</v>
      </c>
      <c r="P43" s="1070" t="s">
        <v>836</v>
      </c>
      <c r="Q43" s="1070" t="s">
        <v>2203</v>
      </c>
      <c r="R43" s="1070" t="s">
        <v>836</v>
      </c>
      <c r="S43" s="1070"/>
      <c r="T43" s="956" t="s">
        <v>2204</v>
      </c>
      <c r="U43" s="956" t="s">
        <v>2204</v>
      </c>
      <c r="V43" s="956" t="s">
        <v>2204</v>
      </c>
      <c r="W43" s="956" t="s">
        <v>2204</v>
      </c>
      <c r="X43" s="956"/>
      <c r="Y43" s="1113"/>
      <c r="Z43" s="959" t="s">
        <v>2205</v>
      </c>
      <c r="AA43" s="959" t="s">
        <v>2205</v>
      </c>
      <c r="AB43" s="959" t="s">
        <v>2205</v>
      </c>
      <c r="AC43" s="959" t="s">
        <v>2205</v>
      </c>
      <c r="AD43" s="959"/>
    </row>
    <row customHeight="1" ht="27">
      <c r="A44" s="958"/>
      <c r="B44" s="1012">
        <v>27</v>
      </c>
      <c r="C44" s="956" t="s">
        <v>2206</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2207</v>
      </c>
      <c r="P44" s="1070" t="s">
        <v>2208</v>
      </c>
      <c r="Q44" s="1070" t="s">
        <v>2207</v>
      </c>
      <c r="R44" s="1070" t="s">
        <v>2208</v>
      </c>
      <c r="S44" s="1070"/>
      <c r="T44" s="956" t="s">
        <v>2197</v>
      </c>
      <c r="U44" s="956" t="s">
        <v>2197</v>
      </c>
      <c r="V44" s="956" t="s">
        <v>2197</v>
      </c>
      <c r="W44" s="956" t="s">
        <v>2197</v>
      </c>
      <c r="X44" s="956"/>
      <c r="Y44" s="1113"/>
      <c r="Z44" s="959" t="s">
        <v>2209</v>
      </c>
      <c r="AA44" s="959" t="s">
        <v>2209</v>
      </c>
      <c r="AB44" s="959" t="s">
        <v>2209</v>
      </c>
      <c r="AC44" s="959" t="s">
        <v>2209</v>
      </c>
      <c r="AD44" s="959"/>
    </row>
    <row customHeight="1" ht="27">
      <c r="A45" s="958"/>
      <c r="B45" s="1012">
        <v>28</v>
      </c>
      <c r="C45" s="956" t="s">
        <v>2210</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2211</v>
      </c>
      <c r="P45" s="1070" t="s">
        <v>2212</v>
      </c>
      <c r="Q45" s="1070" t="s">
        <v>2211</v>
      </c>
      <c r="R45" s="1070" t="s">
        <v>2212</v>
      </c>
      <c r="S45" s="1070"/>
      <c r="T45" s="956" t="s">
        <v>2201</v>
      </c>
      <c r="U45" s="956" t="s">
        <v>2201</v>
      </c>
      <c r="V45" s="956" t="s">
        <v>2201</v>
      </c>
      <c r="W45" s="956" t="s">
        <v>2201</v>
      </c>
      <c r="X45" s="956"/>
      <c r="Y45" s="1113"/>
      <c r="Z45" s="959" t="s">
        <v>2213</v>
      </c>
      <c r="AA45" s="959" t="s">
        <v>2213</v>
      </c>
      <c r="AB45" s="959" t="s">
        <v>2213</v>
      </c>
      <c r="AC45" s="959" t="s">
        <v>2213</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2214</v>
      </c>
      <c r="P46" s="1070" t="s">
        <v>2192</v>
      </c>
      <c r="Q46" s="1070" t="s">
        <v>2214</v>
      </c>
      <c r="R46" s="1070" t="s">
        <v>2192</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2215</v>
      </c>
      <c r="V46" s="956" t="s">
        <v>2215</v>
      </c>
      <c r="W46" s="956" t="s">
        <v>2215</v>
      </c>
      <c r="X46" s="956"/>
      <c r="Y46" s="1113"/>
      <c r="Z46" s="959" t="s">
        <v>2216</v>
      </c>
      <c r="AA46" s="959" t="s">
        <v>2217</v>
      </c>
      <c r="AB46" s="959" t="s">
        <v>2217</v>
      </c>
      <c r="AC46" s="959" t="s">
        <v>2217</v>
      </c>
      <c r="AD46" s="959"/>
    </row>
    <row customHeight="1" ht="54">
      <c r="A47" s="958"/>
      <c r="B47" s="1012">
        <v>30</v>
      </c>
      <c r="C47" s="956" t="s">
        <v>2218</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2219</v>
      </c>
      <c r="P47" s="1070" t="s">
        <v>2196</v>
      </c>
      <c r="Q47" s="1070" t="s">
        <v>2219</v>
      </c>
      <c r="R47" s="1070" t="s">
        <v>2196</v>
      </c>
      <c r="S47" s="1070"/>
      <c r="T47" s="956" t="s">
        <v>2220</v>
      </c>
      <c r="U47" s="956" t="s">
        <v>2220</v>
      </c>
      <c r="V47" s="956" t="s">
        <v>2220</v>
      </c>
      <c r="W47" s="956" t="s">
        <v>2220</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2203</v>
      </c>
      <c r="Q48" s="1070" t="s">
        <v>2221</v>
      </c>
      <c r="R48" s="1070" t="s">
        <v>2203</v>
      </c>
      <c r="S48" s="1070"/>
      <c r="T48" s="956"/>
      <c r="U48" s="956" t="s">
        <v>2222</v>
      </c>
      <c r="V48" s="956" t="s">
        <v>2223</v>
      </c>
      <c r="W48" s="956" t="s">
        <v>2223</v>
      </c>
      <c r="X48" s="956"/>
      <c r="Y48" s="1113"/>
      <c r="Z48" s="959"/>
      <c r="AA48" s="962" t="s">
        <v>2217</v>
      </c>
      <c r="AB48" s="962" t="s">
        <v>2217</v>
      </c>
      <c r="AC48" s="962" t="s">
        <v>2217</v>
      </c>
      <c r="AD48" s="959"/>
    </row>
    <row customHeight="1" ht="54">
      <c r="A49" s="958"/>
      <c r="B49" s="1012">
        <v>32</v>
      </c>
      <c r="C49" s="956" t="s">
        <v>2224</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2207</v>
      </c>
      <c r="Q49" s="1070" t="s">
        <v>2225</v>
      </c>
      <c r="R49" s="1070" t="s">
        <v>2207</v>
      </c>
      <c r="S49" s="1070"/>
      <c r="T49" s="956"/>
      <c r="U49" s="956" t="s">
        <v>2220</v>
      </c>
      <c r="V49" s="956" t="s">
        <v>2220</v>
      </c>
      <c r="W49" s="956" t="s">
        <v>2220</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2221</v>
      </c>
      <c r="P50" s="1070" t="s">
        <v>2214</v>
      </c>
      <c r="Q50" s="1070" t="s">
        <v>2226</v>
      </c>
      <c r="R50" s="1070" t="s">
        <v>2214</v>
      </c>
      <c r="S50" s="1070"/>
      <c r="T50" s="956" t="s">
        <v>2227</v>
      </c>
      <c r="U50" s="956" t="s">
        <v>2228</v>
      </c>
      <c r="V50" s="956" t="s">
        <v>2229</v>
      </c>
      <c r="W50" s="956" t="s">
        <v>2230</v>
      </c>
      <c r="X50" s="956"/>
      <c r="Y50" s="1113"/>
      <c r="Z50" s="959" t="s">
        <v>2231</v>
      </c>
      <c r="AA50" s="962" t="s">
        <v>2232</v>
      </c>
      <c r="AB50" s="962" t="s">
        <v>2232</v>
      </c>
      <c r="AC50" s="962" t="s">
        <v>2232</v>
      </c>
      <c r="AD50" s="959"/>
    </row>
    <row customHeight="1" ht="27">
      <c r="A51" s="958"/>
      <c r="B51" s="1012">
        <v>34</v>
      </c>
      <c r="C51" s="956" t="s">
        <v>2233</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90</v>
      </c>
      <c r="P51" s="1070"/>
      <c r="Q51" s="1070"/>
      <c r="R51" s="1070"/>
      <c r="S51" s="1070"/>
      <c r="T51" s="956" t="s">
        <v>2234</v>
      </c>
      <c r="U51" s="956"/>
      <c r="V51" s="956"/>
      <c r="W51" s="956"/>
      <c r="X51" s="956"/>
      <c r="Y51" s="1113"/>
      <c r="Z51" s="959"/>
      <c r="AA51" s="962"/>
      <c r="AB51" s="962"/>
      <c r="AC51" s="962"/>
      <c r="AD51" s="959"/>
    </row>
    <row customHeight="1" ht="36">
      <c r="A52" s="958"/>
      <c r="B52" s="1012">
        <v>35</v>
      </c>
      <c r="C52" s="956" t="s">
        <v>2127</v>
      </c>
      <c r="D52" s="1080" t="s">
        <v>2127</v>
      </c>
      <c r="E52" s="956" t="s">
        <v>2127</v>
      </c>
      <c r="F52" s="956" t="s">
        <v>2127</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водоотведения,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2235</v>
      </c>
      <c r="U52" s="956" t="s">
        <v>2236</v>
      </c>
      <c r="V52" s="956" t="s">
        <v>2237</v>
      </c>
      <c r="W52" s="956" t="s">
        <v>2238</v>
      </c>
      <c r="X52" s="956"/>
      <c r="Y52" s="1113"/>
      <c r="Z52" s="959" t="s">
        <v>840</v>
      </c>
      <c r="AA52" s="962" t="s">
        <v>840</v>
      </c>
      <c r="AB52" s="962" t="s">
        <v>840</v>
      </c>
      <c r="AC52" s="962" t="s">
        <v>840</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844</v>
      </c>
      <c r="P53" s="1070" t="s">
        <v>417</v>
      </c>
      <c r="Q53" s="1070" t="s">
        <v>417</v>
      </c>
      <c r="R53" s="1070" t="s">
        <v>417</v>
      </c>
      <c r="S53" s="1070"/>
      <c r="T53" s="956" t="s">
        <v>2239</v>
      </c>
      <c r="U53" s="956" t="s">
        <v>2239</v>
      </c>
      <c r="V53" s="956" t="s">
        <v>2239</v>
      </c>
      <c r="W53" s="956" t="s">
        <v>2239</v>
      </c>
      <c r="X53" s="956"/>
      <c r="Y53" s="1113"/>
      <c r="Z53" s="959"/>
      <c r="AA53" s="962"/>
      <c r="AB53" s="959"/>
      <c r="AC53" s="959"/>
      <c r="AD53" s="959"/>
    </row>
    <row customHeight="1" ht="18">
      <c r="A54" s="958"/>
      <c r="B54" s="1012">
        <v>37</v>
      </c>
      <c r="C54" s="956" t="s">
        <v>2133</v>
      </c>
      <c r="D54" s="1080" t="s">
        <v>2133</v>
      </c>
      <c r="E54" s="956" t="s">
        <v>2133</v>
      </c>
      <c r="F54" s="956" t="s">
        <v>2133</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116</v>
      </c>
      <c r="P54" s="1070" t="s">
        <v>91</v>
      </c>
      <c r="Q54" s="1070" t="s">
        <v>91</v>
      </c>
      <c r="R54" s="1070" t="s">
        <v>91</v>
      </c>
      <c r="S54" s="1070"/>
      <c r="T54" s="956" t="s">
        <v>842</v>
      </c>
      <c r="U54" s="956" t="s">
        <v>842</v>
      </c>
      <c r="V54" s="956" t="s">
        <v>842</v>
      </c>
      <c r="W54" s="956" t="s">
        <v>842</v>
      </c>
      <c r="X54" s="956"/>
      <c r="Y54" s="1113"/>
      <c r="Z54" s="959" t="s">
        <v>843</v>
      </c>
      <c r="AA54" s="959" t="s">
        <v>843</v>
      </c>
      <c r="AB54" s="959" t="s">
        <v>843</v>
      </c>
      <c r="AC54" s="959" t="s">
        <v>843</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406</v>
      </c>
      <c r="P55" s="1070" t="s">
        <v>844</v>
      </c>
      <c r="Q55" s="1070" t="s">
        <v>844</v>
      </c>
      <c r="R55" s="1070" t="s">
        <v>844</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2240</v>
      </c>
      <c r="V55" s="956" t="s">
        <v>2240</v>
      </c>
      <c r="W55" s="956" t="s">
        <v>2240</v>
      </c>
      <c r="X55" s="956"/>
      <c r="Y55" s="1113"/>
      <c r="Z55" s="959" t="s">
        <v>2241</v>
      </c>
      <c r="AA55" s="959" t="s">
        <v>2241</v>
      </c>
      <c r="AB55" s="959" t="s">
        <v>2241</v>
      </c>
      <c r="AC55" s="959" t="s">
        <v>2241</v>
      </c>
      <c r="AD55" s="959"/>
    </row>
    <row customHeight="1" ht="27">
      <c r="A56" s="958"/>
      <c r="B56" s="1012">
        <v>39</v>
      </c>
      <c r="C56" s="956" t="s">
        <v>1112</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1229</v>
      </c>
      <c r="P56" s="1070" t="s">
        <v>847</v>
      </c>
      <c r="Q56" s="1070" t="s">
        <v>847</v>
      </c>
      <c r="R56" s="1070" t="s">
        <v>847</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2242</v>
      </c>
      <c r="V56" s="956" t="s">
        <v>2242</v>
      </c>
      <c r="W56" s="956" t="s">
        <v>2242</v>
      </c>
      <c r="X56" s="956"/>
      <c r="Y56" s="1113"/>
      <c r="Z56" s="959" t="s">
        <v>849</v>
      </c>
      <c r="AA56" s="959" t="s">
        <v>849</v>
      </c>
      <c r="AB56" s="959" t="s">
        <v>849</v>
      </c>
      <c r="AC56" s="959" t="s">
        <v>849</v>
      </c>
      <c r="AD56" s="959"/>
    </row>
    <row customHeight="1" ht="27">
      <c r="A57" s="958"/>
      <c r="B57" s="1012">
        <v>40</v>
      </c>
      <c r="C57" s="956" t="s">
        <v>1114</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2243</v>
      </c>
      <c r="P57" s="1070" t="s">
        <v>850</v>
      </c>
      <c r="Q57" s="1070" t="s">
        <v>850</v>
      </c>
      <c r="R57" s="1070" t="s">
        <v>850</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2244</v>
      </c>
      <c r="V57" s="956" t="s">
        <v>2244</v>
      </c>
      <c r="W57" s="956" t="s">
        <v>2244</v>
      </c>
      <c r="X57" s="956"/>
      <c r="Y57" s="1113"/>
      <c r="Z57" s="959" t="s">
        <v>852</v>
      </c>
      <c r="AA57" s="959" t="s">
        <v>852</v>
      </c>
      <c r="AB57" s="959" t="s">
        <v>852</v>
      </c>
      <c r="AC57" s="959" t="s">
        <v>852</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972</v>
      </c>
      <c r="P58" s="1070" t="s">
        <v>886</v>
      </c>
      <c r="Q58" s="1070" t="s">
        <v>886</v>
      </c>
      <c r="R58" s="1070" t="s">
        <v>886</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2245</v>
      </c>
      <c r="V58" s="956" t="s">
        <v>2245</v>
      </c>
      <c r="W58" s="956" t="s">
        <v>2245</v>
      </c>
      <c r="X58" s="956"/>
      <c r="Y58" s="1113"/>
      <c r="Z58" s="959"/>
      <c r="AA58" s="962"/>
      <c r="AB58" s="959"/>
      <c r="AC58" s="959"/>
      <c r="AD58" s="959"/>
    </row>
    <row customHeight="1" ht="36">
      <c r="A59" s="958"/>
      <c r="B59" s="1012">
        <v>42</v>
      </c>
      <c r="C59" s="956">
        <v>3</v>
      </c>
      <c r="D59" s="1080" t="s">
        <v>2233</v>
      </c>
      <c r="E59" s="956" t="s">
        <v>2233</v>
      </c>
      <c r="F59" s="956" t="s">
        <v>2233</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водоотведения</v>
      </c>
      <c r="N59" s="957" t="str">
        <f>IF(K59=0,"",K59)</f>
        <v/>
      </c>
      <c r="O59" s="1070"/>
      <c r="P59" s="1070" t="s">
        <v>116</v>
      </c>
      <c r="Q59" s="1070" t="s">
        <v>116</v>
      </c>
      <c r="R59" s="1070" t="s">
        <v>116</v>
      </c>
      <c r="S59" s="1070"/>
      <c r="T59" s="956"/>
      <c r="U59" s="956" t="s">
        <v>2246</v>
      </c>
      <c r="V59" s="956" t="s">
        <v>2247</v>
      </c>
      <c r="W59" s="956" t="s">
        <v>2248</v>
      </c>
      <c r="X59" s="956"/>
      <c r="Y59" s="1113"/>
      <c r="Z59" s="959"/>
      <c r="AA59" s="962"/>
      <c r="AB59" s="959"/>
      <c r="AC59" s="959"/>
      <c r="AD59" s="959"/>
    </row>
    <row customHeight="1" ht="81">
      <c r="A60" s="958"/>
      <c r="B60" s="1012">
        <v>43</v>
      </c>
      <c r="C60" s="956" t="s">
        <v>2249</v>
      </c>
      <c r="D60" s="1080" t="s">
        <v>2249</v>
      </c>
      <c r="E60" s="956" t="s">
        <v>2249</v>
      </c>
      <c r="F60" s="956" t="s">
        <v>2249</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92</v>
      </c>
      <c r="P60" s="1070" t="s">
        <v>92</v>
      </c>
      <c r="Q60" s="1070" t="s">
        <v>92</v>
      </c>
      <c r="R60" s="1070" t="s">
        <v>92</v>
      </c>
      <c r="S60" s="1070"/>
      <c r="T60" s="956" t="s">
        <v>720</v>
      </c>
      <c r="U60" s="956" t="s">
        <v>720</v>
      </c>
      <c r="V60" s="956" t="s">
        <v>720</v>
      </c>
      <c r="W60" s="956" t="s">
        <v>720</v>
      </c>
      <c r="X60" s="956"/>
      <c r="Y60" s="1113"/>
      <c r="Z60" s="959" t="s">
        <v>2250</v>
      </c>
      <c r="AA60" s="962" t="s">
        <v>2251</v>
      </c>
      <c r="AB60" s="959" t="s">
        <v>2252</v>
      </c>
      <c r="AC60" s="959" t="s">
        <v>2251</v>
      </c>
      <c r="AD60" s="959"/>
    </row>
    <row customHeight="1" ht="9">
      <c r="A61" s="958"/>
      <c r="B61" s="1012">
        <v>44</v>
      </c>
      <c r="C61" s="956"/>
      <c r="D61" s="1080" t="s">
        <v>2253</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2254</v>
      </c>
      <c r="V61" s="956"/>
      <c r="W61" s="956"/>
      <c r="X61" s="956"/>
      <c r="Y61" s="1113"/>
      <c r="Z61" s="959"/>
      <c r="AA61" s="962"/>
      <c r="AB61" s="959"/>
      <c r="AC61" s="959"/>
      <c r="AD61" s="959"/>
    </row>
    <row customHeight="1" ht="9">
      <c r="A62" s="958"/>
      <c r="B62" s="1012">
        <v>45</v>
      </c>
      <c r="C62" s="956"/>
      <c r="D62" s="1080" t="s">
        <v>2255</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129</v>
      </c>
      <c r="Q62" s="1070"/>
      <c r="R62" s="1070"/>
      <c r="S62" s="1070"/>
      <c r="T62" s="956"/>
      <c r="U62" s="956" t="s">
        <v>2256</v>
      </c>
      <c r="V62" s="956"/>
      <c r="W62" s="956"/>
      <c r="X62" s="956"/>
      <c r="Y62" s="1113"/>
      <c r="Z62" s="959"/>
      <c r="AA62" s="962"/>
      <c r="AB62" s="959"/>
      <c r="AC62" s="959"/>
      <c r="AD62" s="959"/>
    </row>
    <row customHeight="1" ht="18">
      <c r="A63" s="958"/>
      <c r="B63" s="1012">
        <v>46</v>
      </c>
      <c r="C63" s="956"/>
      <c r="D63" s="1080" t="s">
        <v>2257</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134</v>
      </c>
      <c r="Q63" s="1070"/>
      <c r="R63" s="1070"/>
      <c r="S63" s="1070"/>
      <c r="T63" s="956"/>
      <c r="U63" s="956" t="s">
        <v>2258</v>
      </c>
      <c r="V63" s="956"/>
      <c r="W63" s="956"/>
      <c r="X63" s="956"/>
      <c r="Y63" s="1113"/>
      <c r="Z63" s="959"/>
      <c r="AA63" s="962"/>
      <c r="AB63" s="959"/>
      <c r="AC63" s="959"/>
      <c r="AD63" s="959"/>
    </row>
    <row customHeight="1" ht="18">
      <c r="A64" s="958"/>
      <c r="B64" s="1012">
        <v>47</v>
      </c>
      <c r="C64" s="956"/>
      <c r="D64" s="1080" t="s">
        <v>2259</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180</v>
      </c>
      <c r="Q64" s="1070"/>
      <c r="R64" s="1070"/>
      <c r="S64" s="1070"/>
      <c r="T64" s="956"/>
      <c r="U64" s="956" t="s">
        <v>2260</v>
      </c>
      <c r="V64" s="956"/>
      <c r="W64" s="956"/>
      <c r="X64" s="956"/>
      <c r="Y64" s="1113"/>
      <c r="Z64" s="959"/>
      <c r="AA64" s="962" t="s">
        <v>2261</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2174</v>
      </c>
      <c r="Q65" s="1070"/>
      <c r="R65" s="1070"/>
      <c r="S65" s="1070"/>
      <c r="T65" s="956"/>
      <c r="U65" s="956" t="s">
        <v>2262</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2178</v>
      </c>
      <c r="Q66" s="1070"/>
      <c r="R66" s="1070"/>
      <c r="S66" s="1070"/>
      <c r="T66" s="956"/>
      <c r="U66" s="956" t="s">
        <v>2263</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2264</v>
      </c>
      <c r="Q67" s="1070"/>
      <c r="R67" s="1070"/>
      <c r="S67" s="1070"/>
      <c r="T67" s="956"/>
      <c r="U67" s="956" t="s">
        <v>2265</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2266</v>
      </c>
      <c r="Q68" s="1070"/>
      <c r="R68" s="1070"/>
      <c r="S68" s="1070"/>
      <c r="T68" s="956"/>
      <c r="U68" s="956" t="s">
        <v>2267</v>
      </c>
      <c r="V68" s="956"/>
      <c r="W68" s="956"/>
      <c r="X68" s="956"/>
      <c r="Y68" s="1113"/>
      <c r="Z68" s="959"/>
      <c r="AA68" s="962"/>
      <c r="AB68" s="959"/>
      <c r="AC68" s="959"/>
      <c r="AD68" s="959"/>
    </row>
    <row customHeight="1" ht="9">
      <c r="A69" s="958"/>
      <c r="B69" s="1012">
        <v>52</v>
      </c>
      <c r="C69" s="956"/>
      <c r="D69" s="1080" t="s">
        <v>2268</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181</v>
      </c>
      <c r="Q69" s="1070"/>
      <c r="R69" s="1070"/>
      <c r="S69" s="1070"/>
      <c r="T69" s="956"/>
      <c r="U69" s="956" t="s">
        <v>2269</v>
      </c>
      <c r="V69" s="956"/>
      <c r="W69" s="956"/>
      <c r="X69" s="956"/>
      <c r="Y69" s="1113"/>
      <c r="Z69" s="959"/>
      <c r="AA69" s="962"/>
      <c r="AB69" s="959"/>
      <c r="AC69" s="959"/>
      <c r="AD69" s="959"/>
    </row>
    <row customHeight="1" ht="27">
      <c r="A70" s="958"/>
      <c r="B70" s="1012">
        <v>53</v>
      </c>
      <c r="C70" s="956"/>
      <c r="D70" s="1080"/>
      <c r="E70" s="956" t="s">
        <v>2253</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2270</v>
      </c>
      <c r="W70" s="956"/>
      <c r="X70" s="956"/>
      <c r="Y70" s="1113"/>
      <c r="Z70" s="959"/>
      <c r="AA70" s="962"/>
      <c r="AB70" s="959"/>
      <c r="AC70" s="959"/>
      <c r="AD70" s="959"/>
    </row>
    <row customHeight="1" ht="36">
      <c r="A71" s="958"/>
      <c r="B71" s="1012">
        <v>54</v>
      </c>
      <c r="C71" s="956"/>
      <c r="D71" s="1080"/>
      <c r="E71" s="956" t="s">
        <v>2255</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129</v>
      </c>
      <c r="R71" s="1070"/>
      <c r="S71" s="1070"/>
      <c r="T71" s="956"/>
      <c r="U71" s="956"/>
      <c r="V71" s="956" t="s">
        <v>2271</v>
      </c>
      <c r="W71" s="956"/>
      <c r="X71" s="956"/>
      <c r="Y71" s="1113"/>
      <c r="Z71" s="959"/>
      <c r="AA71" s="962"/>
      <c r="AB71" s="959"/>
      <c r="AC71" s="959"/>
      <c r="AD71" s="959"/>
    </row>
    <row customHeight="1" ht="27">
      <c r="A72" s="958"/>
      <c r="B72" s="1012">
        <v>55</v>
      </c>
      <c r="C72" s="956"/>
      <c r="D72" s="1080"/>
      <c r="E72" s="956" t="s">
        <v>2257</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134</v>
      </c>
      <c r="R72" s="1070"/>
      <c r="S72" s="1070"/>
      <c r="T72" s="956"/>
      <c r="U72" s="956"/>
      <c r="V72" s="956" t="s">
        <v>2272</v>
      </c>
      <c r="W72" s="956"/>
      <c r="X72" s="956"/>
      <c r="Y72" s="1113"/>
      <c r="Z72" s="959"/>
      <c r="AA72" s="962"/>
      <c r="AB72" s="959"/>
      <c r="AC72" s="959"/>
      <c r="AD72" s="959"/>
    </row>
    <row customHeight="1" ht="36">
      <c r="A73" s="958"/>
      <c r="B73" s="1012">
        <v>56</v>
      </c>
      <c r="C73" s="956"/>
      <c r="D73" s="1080"/>
      <c r="E73" s="956" t="s">
        <v>2259</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180</v>
      </c>
      <c r="R73" s="1070"/>
      <c r="S73" s="1070"/>
      <c r="T73" s="956"/>
      <c r="U73" s="956"/>
      <c r="V73" s="956" t="s">
        <v>2273</v>
      </c>
      <c r="W73" s="956"/>
      <c r="X73" s="956"/>
      <c r="Y73" s="1113"/>
      <c r="Z73" s="959"/>
      <c r="AA73" s="962"/>
      <c r="AB73" s="959"/>
      <c r="AC73" s="959"/>
      <c r="AD73" s="959"/>
    </row>
    <row customHeight="1" ht="18">
      <c r="A74" s="958"/>
      <c r="B74" s="1012">
        <v>57</v>
      </c>
      <c r="C74" s="956"/>
      <c r="D74" s="1080"/>
      <c r="E74" s="956" t="s">
        <v>2268</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181</v>
      </c>
      <c r="R74" s="1070"/>
      <c r="S74" s="1070"/>
      <c r="T74" s="956"/>
      <c r="U74" s="956"/>
      <c r="V74" s="956" t="s">
        <v>2274</v>
      </c>
      <c r="W74" s="956"/>
      <c r="X74" s="956"/>
      <c r="Y74" s="1113"/>
      <c r="Z74" s="959"/>
      <c r="AA74" s="962"/>
      <c r="AB74" s="959"/>
      <c r="AC74" s="959"/>
      <c r="AD74" s="959"/>
    </row>
    <row customHeight="1" ht="18">
      <c r="A75" s="958"/>
      <c r="B75" s="1012">
        <v>58</v>
      </c>
      <c r="C75" s="956"/>
      <c r="D75" s="1080"/>
      <c r="E75" s="956"/>
      <c r="F75" s="956" t="s">
        <v>2253</v>
      </c>
      <c r="G75" s="956"/>
      <c r="H75" s="1004"/>
      <c r="I75" s="1118" t="str">
        <f>INDEX(TEMPLATE_NUMBER_POINT_FHD,B75,MATCH(TEMPLATE_SPHERE,TEMPLATE_SPHERE_LIST_FOR_NOTE,0))</f>
        <v>7</v>
      </c>
      <c r="J75" s="1118" t="str">
        <f>INDEX(TEMPLATE_DATA_POINT_FHD,B75,MATCH(TEMPLATE_SPHERE,TEMPLATE_SPHERE_LIST_FOR_NOTE,0))</f>
        <v>Объём сточных вод, принятых от потребителей</v>
      </c>
      <c r="K75" s="1118">
        <f>INDEX(TEMPLATE_NOTE_POINT_FHD,B75,MATCH(TEMPLATE_SPHERE,TEMPLATE_SPHERE_LIST_FOR_NOTE,0))</f>
        <v>0</v>
      </c>
      <c r="L75" s="957" t="str">
        <f>IF(I75=0,"",I75)</f>
        <v>7</v>
      </c>
      <c r="M75" s="957" t="str">
        <f>IF(J75=0,"",J75)</f>
        <v>Объём сточных вод, принятых от потребителей</v>
      </c>
      <c r="N75" s="957" t="str">
        <f>IF(K75=0,"",K75)</f>
        <v/>
      </c>
      <c r="O75" s="1070"/>
      <c r="P75" s="1070"/>
      <c r="Q75" s="1070"/>
      <c r="R75" s="1070" t="s">
        <v>93</v>
      </c>
      <c r="S75" s="1070"/>
      <c r="T75" s="956"/>
      <c r="U75" s="956"/>
      <c r="V75" s="956"/>
      <c r="W75" s="956" t="s">
        <v>2275</v>
      </c>
      <c r="X75" s="956"/>
      <c r="Y75" s="1113"/>
      <c r="Z75" s="959"/>
      <c r="AA75" s="962"/>
      <c r="AB75" s="959"/>
      <c r="AC75" s="959"/>
      <c r="AD75" s="959"/>
    </row>
    <row customHeight="1" ht="36">
      <c r="A76" s="958"/>
      <c r="B76" s="1012">
        <v>59</v>
      </c>
      <c r="C76" s="956"/>
      <c r="D76" s="1080"/>
      <c r="E76" s="956"/>
      <c r="F76" s="956" t="s">
        <v>2255</v>
      </c>
      <c r="G76" s="956"/>
      <c r="H76" s="1004"/>
      <c r="I76" s="1118" t="str">
        <f>INDEX(TEMPLATE_NUMBER_POINT_FHD,B76,MATCH(TEMPLATE_SPHERE,TEMPLATE_SPHERE_LIST_FOR_NOTE,0))</f>
        <v>8</v>
      </c>
      <c r="J76" s="111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18">
        <f>INDEX(TEMPLATE_NOTE_POINT_FHD,B76,MATCH(TEMPLATE_SPHERE,TEMPLATE_SPHERE_LIST_FOR_NOTE,0))</f>
        <v>0</v>
      </c>
      <c r="L76" s="957" t="str">
        <f>IF(I76=0,"",I76)</f>
        <v>8</v>
      </c>
      <c r="M76" s="957" t="str">
        <f>IF(J76=0,"",J76)</f>
        <v>Объём сточных вод, принятых от других регулируемых организаций, осуществляющих водоотведение и (или) очистку сточных вод</v>
      </c>
      <c r="N76" s="957" t="str">
        <f>IF(K76=0,"",K76)</f>
        <v/>
      </c>
      <c r="O76" s="1070"/>
      <c r="P76" s="1070"/>
      <c r="Q76" s="1070"/>
      <c r="R76" s="1070" t="s">
        <v>129</v>
      </c>
      <c r="S76" s="1070"/>
      <c r="T76" s="956"/>
      <c r="U76" s="956"/>
      <c r="V76" s="956"/>
      <c r="W76" s="956" t="s">
        <v>2276</v>
      </c>
      <c r="X76" s="956"/>
      <c r="Y76" s="1113"/>
      <c r="Z76" s="959"/>
      <c r="AA76" s="962"/>
      <c r="AB76" s="959"/>
      <c r="AC76" s="959"/>
      <c r="AD76" s="959"/>
    </row>
    <row customHeight="1" ht="18">
      <c r="A77" s="958"/>
      <c r="B77" s="1012">
        <v>60</v>
      </c>
      <c r="C77" s="956"/>
      <c r="D77" s="1080"/>
      <c r="E77" s="956"/>
      <c r="F77" s="956" t="s">
        <v>2257</v>
      </c>
      <c r="G77" s="956"/>
      <c r="H77" s="1004"/>
      <c r="I77" s="1118" t="str">
        <f>INDEX(TEMPLATE_NUMBER_POINT_FHD,B77,MATCH(TEMPLATE_SPHERE,TEMPLATE_SPHERE_LIST_FOR_NOTE,0))</f>
        <v>9</v>
      </c>
      <c r="J77" s="1118" t="str">
        <f>INDEX(TEMPLATE_DATA_POINT_FHD,B77,MATCH(TEMPLATE_SPHERE,TEMPLATE_SPHERE_LIST_FOR_NOTE,0))</f>
        <v>Объём сточных вод, пропущенных через очистные сооружения</v>
      </c>
      <c r="K77" s="1118">
        <f>INDEX(TEMPLATE_NOTE_POINT_FHD,B77,MATCH(TEMPLATE_SPHERE,TEMPLATE_SPHERE_LIST_FOR_NOTE,0))</f>
        <v>0</v>
      </c>
      <c r="L77" s="957" t="str">
        <f>IF(I77=0,"",I77)</f>
        <v>9</v>
      </c>
      <c r="M77" s="957" t="str">
        <f>IF(J77=0,"",J77)</f>
        <v>Объём сточных вод, пропущенных через очистные сооружения</v>
      </c>
      <c r="N77" s="957" t="str">
        <f>IF(K77=0,"",K77)</f>
        <v/>
      </c>
      <c r="O77" s="1070"/>
      <c r="P77" s="1070"/>
      <c r="Q77" s="1070"/>
      <c r="R77" s="1070" t="s">
        <v>134</v>
      </c>
      <c r="S77" s="1070"/>
      <c r="T77" s="956"/>
      <c r="U77" s="956"/>
      <c r="V77" s="956"/>
      <c r="W77" s="956" t="s">
        <v>2277</v>
      </c>
      <c r="X77" s="956"/>
      <c r="Y77" s="1113"/>
      <c r="Z77" s="959"/>
      <c r="AA77" s="962"/>
      <c r="AB77" s="959"/>
      <c r="AC77" s="959"/>
      <c r="AD77" s="959"/>
    </row>
    <row customHeight="1" ht="72">
      <c r="A78" s="958"/>
      <c r="B78" s="1012">
        <v>61</v>
      </c>
      <c r="C78" s="956" t="s">
        <v>2253</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93</v>
      </c>
      <c r="P78" s="1070"/>
      <c r="Q78" s="1070"/>
      <c r="R78" s="1070"/>
      <c r="S78" s="1070"/>
      <c r="T78" s="956" t="s">
        <v>725</v>
      </c>
      <c r="U78" s="956"/>
      <c r="V78" s="956"/>
      <c r="W78" s="956"/>
      <c r="X78" s="956"/>
      <c r="Y78" s="1113"/>
      <c r="Z78" s="959" t="s">
        <v>2278</v>
      </c>
      <c r="AA78" s="962"/>
      <c r="AB78" s="959"/>
      <c r="AC78" s="959"/>
      <c r="AD78" s="959"/>
    </row>
    <row customHeight="1" ht="36">
      <c r="A79" s="958"/>
      <c r="B79" s="1012">
        <v>62</v>
      </c>
      <c r="C79" s="956" t="s">
        <v>2255</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129</v>
      </c>
      <c r="P79" s="1070"/>
      <c r="Q79" s="1070"/>
      <c r="R79" s="1070"/>
      <c r="S79" s="1070"/>
      <c r="T79" s="956" t="s">
        <v>2279</v>
      </c>
      <c r="U79" s="956"/>
      <c r="V79" s="956"/>
      <c r="W79" s="956"/>
      <c r="X79" s="956"/>
      <c r="Y79" s="1113"/>
      <c r="Z79" s="959" t="s">
        <v>2280</v>
      </c>
      <c r="AA79" s="962"/>
      <c r="AB79" s="959"/>
      <c r="AC79" s="959"/>
      <c r="AD79" s="959"/>
    </row>
    <row customHeight="1" ht="45">
      <c r="A80" s="958"/>
      <c r="B80" s="1012">
        <v>63</v>
      </c>
      <c r="C80" s="956" t="s">
        <v>2257</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134</v>
      </c>
      <c r="P80" s="1070"/>
      <c r="Q80" s="1070"/>
      <c r="R80" s="1070"/>
      <c r="S80" s="1070"/>
      <c r="T80" s="956" t="s">
        <v>2281</v>
      </c>
      <c r="U80" s="956"/>
      <c r="V80" s="956"/>
      <c r="W80" s="956"/>
      <c r="X80" s="956"/>
      <c r="Y80" s="1113"/>
      <c r="Z80" s="959" t="s">
        <v>2282</v>
      </c>
      <c r="AA80" s="962"/>
      <c r="AB80" s="959"/>
      <c r="AC80" s="959"/>
      <c r="AD80" s="959"/>
    </row>
    <row customHeight="1" ht="36">
      <c r="A81" s="958"/>
      <c r="B81" s="1012">
        <v>64</v>
      </c>
      <c r="C81" s="956" t="s">
        <v>2259</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2165</v>
      </c>
      <c r="P81" s="1070"/>
      <c r="Q81" s="1070"/>
      <c r="R81" s="1070"/>
      <c r="S81" s="1070"/>
      <c r="T81" s="956" t="s">
        <v>2283</v>
      </c>
      <c r="U81" s="956"/>
      <c r="V81" s="956"/>
      <c r="W81" s="956"/>
      <c r="X81" s="956"/>
      <c r="Y81" s="1113"/>
      <c r="Z81" s="959" t="s">
        <v>2284</v>
      </c>
      <c r="AA81" s="962"/>
      <c r="AB81" s="959"/>
      <c r="AC81" s="959"/>
      <c r="AD81" s="959"/>
    </row>
    <row customHeight="1" ht="90">
      <c r="A82" s="958"/>
      <c r="B82" s="1012">
        <v>65</v>
      </c>
      <c r="C82" s="956" t="s">
        <v>2268</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180</v>
      </c>
      <c r="P82" s="1070"/>
      <c r="Q82" s="1070"/>
      <c r="R82" s="1070"/>
      <c r="S82" s="1070"/>
      <c r="T82" s="956" t="s">
        <v>2285</v>
      </c>
      <c r="U82" s="956"/>
      <c r="V82" s="956"/>
      <c r="W82" s="956"/>
      <c r="X82" s="956"/>
      <c r="Y82" s="1113"/>
      <c r="Z82" s="959" t="s">
        <v>2286</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2174</v>
      </c>
      <c r="P83" s="1070"/>
      <c r="Q83" s="1070"/>
      <c r="R83" s="1070"/>
      <c r="S83" s="1070"/>
      <c r="T83" s="956" t="s">
        <v>2287</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2288</v>
      </c>
      <c r="P84" s="1070"/>
      <c r="Q84" s="1070"/>
      <c r="R84" s="1070"/>
      <c r="S84" s="1070"/>
      <c r="T84" s="956" t="s">
        <v>2289</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2178</v>
      </c>
      <c r="P85" s="1070"/>
      <c r="Q85" s="1070"/>
      <c r="R85" s="1070"/>
      <c r="S85" s="1070"/>
      <c r="T85" s="956" t="s">
        <v>2290</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2291</v>
      </c>
      <c r="P86" s="1070"/>
      <c r="Q86" s="1070"/>
      <c r="R86" s="1070"/>
      <c r="S86" s="1070"/>
      <c r="T86" s="956" t="s">
        <v>2292</v>
      </c>
      <c r="U86" s="956"/>
      <c r="V86" s="956"/>
      <c r="W86" s="956"/>
      <c r="X86" s="956"/>
      <c r="Y86" s="1113"/>
      <c r="Z86" s="959"/>
      <c r="AA86" s="962"/>
      <c r="AB86" s="959"/>
      <c r="AC86" s="959"/>
      <c r="AD86" s="959"/>
    </row>
    <row customHeight="1" ht="36">
      <c r="A87" s="958"/>
      <c r="B87" s="1012">
        <v>70</v>
      </c>
      <c r="C87" s="956" t="s">
        <v>2293</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181</v>
      </c>
      <c r="P87" s="1070"/>
      <c r="Q87" s="1070"/>
      <c r="R87" s="1070"/>
      <c r="S87" s="1070"/>
      <c r="T87" s="956" t="s">
        <v>2294</v>
      </c>
      <c r="U87" s="956"/>
      <c r="V87" s="956"/>
      <c r="W87" s="956"/>
      <c r="X87" s="956"/>
      <c r="Y87" s="1113"/>
      <c r="Z87" s="959"/>
      <c r="AA87" s="962"/>
      <c r="AB87" s="959"/>
      <c r="AC87" s="959"/>
      <c r="AD87" s="959"/>
    </row>
    <row customHeight="1" ht="18">
      <c r="A88" s="958"/>
      <c r="B88" s="1012">
        <v>71</v>
      </c>
      <c r="C88" s="956" t="s">
        <v>2295</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182</v>
      </c>
      <c r="P88" s="1070"/>
      <c r="Q88" s="1070"/>
      <c r="R88" s="1070"/>
      <c r="S88" s="1070"/>
      <c r="T88" s="956" t="s">
        <v>757</v>
      </c>
      <c r="U88" s="956"/>
      <c r="V88" s="956"/>
      <c r="W88" s="956"/>
      <c r="X88" s="956"/>
      <c r="Y88" s="1113"/>
      <c r="Z88" s="959"/>
      <c r="AA88" s="962"/>
      <c r="AB88" s="959"/>
      <c r="AC88" s="959"/>
      <c r="AD88" s="959"/>
    </row>
    <row customHeight="1" ht="18">
      <c r="A89" s="958"/>
      <c r="B89" s="1012">
        <v>72</v>
      </c>
      <c r="C89" s="956" t="s">
        <v>2296</v>
      </c>
      <c r="D89" s="1080" t="s">
        <v>2293</v>
      </c>
      <c r="E89" s="956" t="s">
        <v>2293</v>
      </c>
      <c r="F89" s="956" t="s">
        <v>2259</v>
      </c>
      <c r="G89" s="956"/>
      <c r="H89" s="1004"/>
      <c r="I89" s="1118" t="str">
        <f>INDEX(TEMPLATE_NUMBER_POINT_FHD,B89,MATCH(TEMPLATE_SPHERE,TEMPLATE_SPHERE_LIST_FOR_NOTE,0))</f>
        <v>10</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10</v>
      </c>
      <c r="M89" s="957" t="str">
        <f>IF(J89=0,"",J89)</f>
        <v>Среднесписочная численность основного производственного персонала</v>
      </c>
      <c r="N89" s="957" t="str">
        <f>IF(K89=0,"",K89)</f>
        <v/>
      </c>
      <c r="O89" s="1070" t="s">
        <v>183</v>
      </c>
      <c r="P89" s="1070" t="s">
        <v>182</v>
      </c>
      <c r="Q89" s="1070" t="s">
        <v>182</v>
      </c>
      <c r="R89" s="1070" t="s">
        <v>180</v>
      </c>
      <c r="S89" s="1070"/>
      <c r="T89" s="956" t="s">
        <v>765</v>
      </c>
      <c r="U89" s="956" t="s">
        <v>765</v>
      </c>
      <c r="V89" s="956" t="s">
        <v>765</v>
      </c>
      <c r="W89" s="956" t="s">
        <v>765</v>
      </c>
      <c r="X89" s="956"/>
      <c r="Y89" s="1113"/>
      <c r="Z89" s="959"/>
      <c r="AA89" s="962"/>
      <c r="AB89" s="959"/>
      <c r="AC89" s="959"/>
      <c r="AD89" s="959"/>
    </row>
    <row customHeight="1" ht="27">
      <c r="A90" s="958"/>
      <c r="B90" s="1012">
        <v>73</v>
      </c>
      <c r="C90" s="956" t="s">
        <v>2297</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184</v>
      </c>
      <c r="P90" s="1070"/>
      <c r="Q90" s="1070"/>
      <c r="R90" s="1070"/>
      <c r="S90" s="1070"/>
      <c r="T90" s="956" t="s">
        <v>767</v>
      </c>
      <c r="U90" s="956"/>
      <c r="V90" s="956"/>
      <c r="W90" s="956"/>
      <c r="X90" s="956"/>
      <c r="Y90" s="1113"/>
      <c r="Z90" s="959"/>
      <c r="AA90" s="962"/>
      <c r="AB90" s="959"/>
      <c r="AC90" s="959"/>
      <c r="AD90" s="959"/>
    </row>
    <row customHeight="1" ht="18">
      <c r="A91" s="958"/>
      <c r="B91" s="1012">
        <v>74</v>
      </c>
      <c r="C91" s="956"/>
      <c r="D91" s="1080" t="s">
        <v>2295</v>
      </c>
      <c r="E91" s="956" t="s">
        <v>2295</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183</v>
      </c>
      <c r="Q91" s="1070" t="s">
        <v>183</v>
      </c>
      <c r="R91" s="1070"/>
      <c r="S91" s="1070"/>
      <c r="T91" s="956"/>
      <c r="U91" s="956" t="s">
        <v>2298</v>
      </c>
      <c r="V91" s="956" t="s">
        <v>2298</v>
      </c>
      <c r="W91" s="956"/>
      <c r="X91" s="956"/>
      <c r="Y91" s="1113"/>
      <c r="Z91" s="959"/>
      <c r="AA91" s="962"/>
      <c r="AB91" s="959"/>
      <c r="AC91" s="959"/>
      <c r="AD91" s="959"/>
    </row>
    <row customHeight="1" ht="27">
      <c r="A92" s="958"/>
      <c r="B92" s="1012">
        <v>75</v>
      </c>
      <c r="C92" s="956"/>
      <c r="D92" s="1080" t="s">
        <v>2296</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184</v>
      </c>
      <c r="Q92" s="1070"/>
      <c r="R92" s="1070"/>
      <c r="S92" s="1070"/>
      <c r="T92" s="956"/>
      <c r="U92" s="956" t="s">
        <v>2299</v>
      </c>
      <c r="V92" s="956"/>
      <c r="W92" s="956"/>
      <c r="X92" s="956"/>
      <c r="Y92" s="1113"/>
      <c r="Z92" s="959"/>
      <c r="AA92" s="962" t="s">
        <v>2300</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2206</v>
      </c>
      <c r="Q93" s="1070"/>
      <c r="R93" s="1070"/>
      <c r="S93" s="1070"/>
      <c r="T93" s="956"/>
      <c r="U93" s="956" t="s">
        <v>2301</v>
      </c>
      <c r="V93" s="956"/>
      <c r="W93" s="956"/>
      <c r="X93" s="956"/>
      <c r="Y93" s="1113"/>
      <c r="Z93" s="959"/>
      <c r="AA93" s="962" t="s">
        <v>2302</v>
      </c>
      <c r="AB93" s="959"/>
      <c r="AC93" s="959"/>
      <c r="AD93" s="959"/>
    </row>
    <row customHeight="1" ht="45">
      <c r="A94" s="958"/>
      <c r="B94" s="1012">
        <v>77</v>
      </c>
      <c r="C94" s="956"/>
      <c r="D94" s="1080" t="s">
        <v>2297</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1560</v>
      </c>
      <c r="Q94" s="1070"/>
      <c r="R94" s="1070"/>
      <c r="S94" s="1070"/>
      <c r="T94" s="956"/>
      <c r="U94" s="956" t="s">
        <v>2303</v>
      </c>
      <c r="V94" s="956"/>
      <c r="W94" s="956"/>
      <c r="X94" s="956"/>
      <c r="Y94" s="1113"/>
      <c r="Z94" s="959"/>
      <c r="AA94" s="962" t="s">
        <v>2304</v>
      </c>
      <c r="AB94" s="959"/>
      <c r="AC94" s="959"/>
      <c r="AD94" s="959"/>
    </row>
    <row customHeight="1" ht="99">
      <c r="A95" s="958"/>
      <c r="B95" s="1012">
        <v>78</v>
      </c>
      <c r="C95" s="956" t="s">
        <v>2305</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1560</v>
      </c>
      <c r="P95" s="1070"/>
      <c r="Q95" s="1070"/>
      <c r="R95" s="1070"/>
      <c r="S95" s="1070"/>
      <c r="T95" s="956" t="s">
        <v>2306</v>
      </c>
      <c r="U95" s="956"/>
      <c r="V95" s="956"/>
      <c r="W95" s="956"/>
      <c r="X95" s="956"/>
      <c r="Y95" s="1113"/>
      <c r="Z95" s="959"/>
      <c r="AA95" s="962"/>
      <c r="AB95" s="959"/>
      <c r="AC95" s="959"/>
      <c r="AD95" s="959"/>
    </row>
    <row customHeight="1" ht="99">
      <c r="A96" s="958"/>
      <c r="B96" s="1012">
        <v>79</v>
      </c>
      <c r="C96" s="956" t="s">
        <v>1238</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110</v>
      </c>
      <c r="P96" s="1070"/>
      <c r="Q96" s="1070"/>
      <c r="R96" s="1070"/>
      <c r="S96" s="1070"/>
      <c r="T96" s="956" t="s">
        <v>2307</v>
      </c>
      <c r="U96" s="956"/>
      <c r="V96" s="956"/>
      <c r="W96" s="956"/>
      <c r="X96" s="956"/>
      <c r="Y96" s="1113"/>
      <c r="Z96" s="959" t="s">
        <v>2308</v>
      </c>
      <c r="AA96" s="962"/>
      <c r="AB96" s="959"/>
      <c r="AC96" s="959"/>
      <c r="AD96" s="959"/>
    </row>
    <row customHeight="1" ht="63">
      <c r="A97" s="958"/>
      <c r="B97" s="1012">
        <v>80</v>
      </c>
      <c r="C97" s="956" t="s">
        <v>2309</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1577</v>
      </c>
      <c r="P97" s="1070"/>
      <c r="Q97" s="1070"/>
      <c r="R97" s="1070"/>
      <c r="S97" s="1070"/>
      <c r="T97" s="956" t="s">
        <v>2310</v>
      </c>
      <c r="U97" s="956"/>
      <c r="V97" s="956"/>
      <c r="W97" s="956"/>
      <c r="X97" s="956"/>
      <c r="Y97" s="1113"/>
      <c r="Z97" s="959" t="s">
        <v>2311</v>
      </c>
      <c r="AA97" s="962"/>
      <c r="AB97" s="959"/>
      <c r="AC97" s="959"/>
      <c r="AD97" s="959"/>
    </row>
    <row customHeight="1" ht="63">
      <c r="A98" s="958"/>
      <c r="B98" s="1012">
        <v>81</v>
      </c>
      <c r="C98" s="956" t="s">
        <v>2312</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1591</v>
      </c>
      <c r="P98" s="1070"/>
      <c r="Q98" s="1070"/>
      <c r="R98" s="1070"/>
      <c r="S98" s="1070"/>
      <c r="T98" s="956" t="s">
        <v>2313</v>
      </c>
      <c r="U98" s="956"/>
      <c r="V98" s="956"/>
      <c r="W98" s="956"/>
      <c r="X98" s="956"/>
      <c r="Y98" s="1113"/>
      <c r="Z98" s="959" t="s">
        <v>2311</v>
      </c>
      <c r="AA98" s="962"/>
      <c r="AB98" s="959"/>
      <c r="AC98" s="959"/>
      <c r="AD98" s="959"/>
    </row>
    <row customHeight="1" ht="90">
      <c r="A99" s="958"/>
      <c r="B99" s="1012">
        <v>82</v>
      </c>
      <c r="C99" s="956" t="s">
        <v>2314</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1603</v>
      </c>
      <c r="P99" s="1070"/>
      <c r="Q99" s="1070"/>
      <c r="R99" s="1070"/>
      <c r="S99" s="1070"/>
      <c r="T99" s="956" t="s">
        <v>2315</v>
      </c>
      <c r="U99" s="956"/>
      <c r="V99" s="956"/>
      <c r="W99" s="956"/>
      <c r="X99" s="956"/>
      <c r="Y99" s="1113"/>
      <c r="Z99" s="959" t="s">
        <v>722</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2316</v>
      </c>
      <c r="P100" s="1070"/>
      <c r="Q100" s="1070"/>
      <c r="R100" s="1070"/>
      <c r="S100" s="1070"/>
      <c r="T100" s="956" t="s">
        <v>2317</v>
      </c>
      <c r="U100" s="956"/>
      <c r="V100" s="956"/>
      <c r="W100" s="956"/>
      <c r="X100" s="956"/>
      <c r="Y100" s="1113"/>
      <c r="Z100" s="959" t="s">
        <v>722</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2318</v>
      </c>
      <c r="P101" s="1070"/>
      <c r="Q101" s="1070"/>
      <c r="R101" s="1070"/>
      <c r="S101" s="1070"/>
      <c r="T101" s="956" t="s">
        <v>2319</v>
      </c>
      <c r="U101" s="956"/>
      <c r="V101" s="956"/>
      <c r="W101" s="956"/>
      <c r="X101" s="956"/>
      <c r="Y101" s="1113"/>
      <c r="Z101" s="959" t="s">
        <v>722</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1756</v>
      </c>
      <c r="B148" s="958"/>
      <c r="C148" s="956" t="s">
        <v>2320</v>
      </c>
      <c r="D148" s="956" t="s">
        <v>1659</v>
      </c>
      <c r="E148" s="956" t="s">
        <v>1758</v>
      </c>
      <c r="F148" s="956" t="s">
        <v>2321</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61"/>
      <c r="O148" s="956"/>
      <c r="P148" s="957"/>
      <c r="Q148" s="957"/>
      <c r="R148" s="957"/>
      <c r="S148" s="956"/>
      <c r="T148" s="956" t="s">
        <v>2322</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57"/>
      <c r="W148" s="957"/>
      <c r="X148" s="956" t="s">
        <v>2323</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1760</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1763</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1767</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98763-280F-5F64-7FFC-704C1DC624F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67" width="10.57421875" hidden="1"/>
    <col min="2" max="2" style="5467" width="11.00390625" hidden="1" customWidth="1"/>
    <col min="3" max="3" style="5467" width="10.57421875" hidden="1"/>
    <col min="4" max="4" style="5467" width="11.8515625" hidden="1" customWidth="1"/>
    <col min="5" max="5" style="5467" width="12.28125" hidden="1" customWidth="1"/>
    <col min="6" max="8" style="6317" width="12.28125" hidden="1" customWidth="1"/>
    <col min="9" max="9" style="6318" width="3.00390625" customWidth="1"/>
    <col min="10" max="11" style="6319" width="3.00390625" customWidth="1"/>
    <col min="12" max="12" style="6320" width="12.00390625" customWidth="1"/>
    <col min="13" max="13" style="5387" width="31.00390625" customWidth="1"/>
    <col min="14" max="14" style="5387" width="1.00390625" customWidth="1"/>
    <col min="15" max="18" style="5387" width="24.00390625" customWidth="1"/>
    <col min="19" max="19" style="5387" width="11.00390625" customWidth="1"/>
    <col min="20" max="20" style="5387" width="3.7109375" customWidth="1"/>
    <col min="21" max="21" style="5387" width="11.00390625" customWidth="1"/>
    <col min="22" max="22" style="5387" width="8.57421875" customWidth="1"/>
    <col min="23" max="23" style="5387" width="4.00390625" customWidth="1"/>
    <col min="24" max="24" style="5387" width="115.00390625" customWidth="1"/>
    <col min="25" max="29" style="5468" width="10.00390625" customWidth="1"/>
    <col min="30" max="30" style="5387"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2324</v>
      </c>
      <c r="M5" s="2716"/>
      <c r="N5" s="2716"/>
      <c r="O5" s="2716"/>
      <c r="P5" s="2716"/>
      <c r="Q5" s="2716"/>
      <c r="R5" s="2716"/>
      <c r="S5" s="2716"/>
      <c r="T5" s="2716"/>
      <c r="U5" s="2716"/>
      <c r="V5" s="1356"/>
      <c r="AD5" s="1268">
        <v>64</v>
      </c>
    </row>
    <row customHeight="1" ht="14.699999999999998">
      <c r="J6" s="489"/>
      <c r="K6" s="489"/>
      <c r="L6" s="2717" t="str">
        <f>IF(org=0,"Не определено",org)</f>
        <v>КГУП "Примтеплоэнерго"</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04"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604" customFormat="1" customHeight="1" ht="24">
      <c r="A9" s="1481"/>
      <c r="B9" s="1481"/>
      <c r="C9" s="1481"/>
      <c r="D9" s="1481"/>
      <c r="E9" s="1481"/>
      <c r="F9" s="1481"/>
      <c r="G9" s="1481"/>
      <c r="H9" s="1481"/>
      <c r="L9" s="1389"/>
      <c r="M9" s="408" t="s">
        <v>514</v>
      </c>
      <c r="N9" s="417"/>
      <c r="O9" s="2364" t="str">
        <f>IF(TITLE_DATE_CHANGE_PERIOD="",IF(TITLE_DATE_PR="","",TITLE_DATE_PR),TITLE_DATE_CHANGE_PERIOD)</f>
        <v>45658.602175925924</v>
      </c>
      <c r="P9" s="2364"/>
      <c r="Q9" s="2364"/>
      <c r="R9" s="2364"/>
      <c r="S9" s="2364"/>
      <c r="T9" s="2364"/>
      <c r="U9" s="2364"/>
      <c r="V9" s="439"/>
      <c r="W9" s="439"/>
      <c r="X9" s="393"/>
      <c r="Y9" s="481"/>
      <c r="Z9" s="481"/>
      <c r="AA9" s="481"/>
      <c r="AB9" s="481"/>
      <c r="AC9" s="481"/>
      <c r="AD9" s="531">
        <v>23</v>
      </c>
    </row>
    <row s="5604" customFormat="1" customHeight="1" ht="24">
      <c r="A10" s="1481"/>
      <c r="B10" s="1481"/>
      <c r="C10" s="1481"/>
      <c r="D10" s="1481"/>
      <c r="E10" s="1481"/>
      <c r="F10" s="1481"/>
      <c r="G10" s="1481"/>
      <c r="H10" s="1481"/>
      <c r="L10" s="1363"/>
      <c r="M10" s="408" t="s">
        <v>515</v>
      </c>
      <c r="N10" s="417"/>
      <c r="O10" s="2364" t="str">
        <f>IF(TITLE_NUMBER_PR_CHANGE="",IF(TITLE_NUMBER_PR="","",TITLE_NUMBER_PR),TITLE_NUMBER_PR_CHANGE)</f>
        <v>27-2139</v>
      </c>
      <c r="P10" s="2364"/>
      <c r="Q10" s="2364"/>
      <c r="R10" s="2364"/>
      <c r="S10" s="2364"/>
      <c r="T10" s="2364"/>
      <c r="U10" s="2364"/>
      <c r="V10" s="439"/>
      <c r="W10" s="439"/>
      <c r="X10" s="393"/>
      <c r="Y10" s="481"/>
      <c r="Z10" s="481"/>
      <c r="AA10" s="481"/>
      <c r="AB10" s="481"/>
      <c r="AC10" s="481"/>
      <c r="AD10" s="531">
        <v>23</v>
      </c>
    </row>
    <row s="5604"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604"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518</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393</v>
      </c>
      <c r="M14" s="2240"/>
      <c r="N14" s="2240"/>
      <c r="O14" s="2240"/>
      <c r="P14" s="2240"/>
      <c r="Q14" s="2240"/>
      <c r="R14" s="2240"/>
      <c r="S14" s="2240"/>
      <c r="T14" s="2240"/>
      <c r="U14" s="2240"/>
      <c r="V14" s="2240"/>
      <c r="W14" s="2240"/>
      <c r="X14" s="2240" t="s">
        <v>394</v>
      </c>
      <c r="AD14" s="1268">
        <v>14</v>
      </c>
    </row>
    <row customHeight="1" ht="14.699999999999998">
      <c r="J15" s="489"/>
      <c r="K15" s="489"/>
      <c r="L15" s="2386" t="s">
        <v>88</v>
      </c>
      <c r="M15" s="2322" t="s">
        <v>519</v>
      </c>
      <c r="N15" s="414"/>
      <c r="O15" s="2387" t="s">
        <v>2325</v>
      </c>
      <c r="P15" s="2388"/>
      <c r="Q15" s="2388"/>
      <c r="R15" s="2388"/>
      <c r="S15" s="2388"/>
      <c r="T15" s="2388"/>
      <c r="U15" s="2389"/>
      <c r="V15" s="2390" t="s">
        <v>521</v>
      </c>
      <c r="W15" s="2393" t="s">
        <v>1235</v>
      </c>
      <c r="X15" s="2240"/>
      <c r="AD15" s="1268">
        <v>14</v>
      </c>
    </row>
    <row customHeight="1" ht="35.699999999999996">
      <c r="J16" s="489"/>
      <c r="K16" s="489"/>
      <c r="L16" s="2386"/>
      <c r="M16" s="2322"/>
      <c r="N16" s="1144"/>
      <c r="O16" s="2373" t="s">
        <v>524</v>
      </c>
      <c r="P16" s="2373" t="s">
        <v>525</v>
      </c>
      <c r="Q16" s="2375" t="s">
        <v>526</v>
      </c>
      <c r="R16" s="2376"/>
      <c r="S16" s="2375" t="s">
        <v>539</v>
      </c>
      <c r="T16" s="2382"/>
      <c r="U16" s="2376"/>
      <c r="V16" s="2391"/>
      <c r="W16" s="2394"/>
      <c r="X16" s="2240"/>
      <c r="AD16" s="1268">
        <v>34</v>
      </c>
    </row>
    <row customHeight="1" ht="35.699999999999996">
      <c r="A17" s="1483" t="s">
        <v>166</v>
      </c>
      <c r="B17" s="1483" t="s">
        <v>167</v>
      </c>
      <c r="C17" s="1483" t="s">
        <v>168</v>
      </c>
      <c r="D17" s="1483" t="s">
        <v>169</v>
      </c>
      <c r="E17" s="1483"/>
      <c r="J17" s="489"/>
      <c r="K17" s="489"/>
      <c r="L17" s="2386"/>
      <c r="M17" s="2322"/>
      <c r="N17" s="415"/>
      <c r="O17" s="2374"/>
      <c r="P17" s="2374"/>
      <c r="Q17" s="1335" t="s">
        <v>535</v>
      </c>
      <c r="R17" s="1335" t="s">
        <v>536</v>
      </c>
      <c r="S17" s="1405" t="s">
        <v>537</v>
      </c>
      <c r="T17" s="2383" t="s">
        <v>538</v>
      </c>
      <c r="U17" s="2384"/>
      <c r="V17" s="2392"/>
      <c r="W17" s="2395"/>
      <c r="X17" s="2240"/>
      <c r="AD17" s="1268">
        <v>34</v>
      </c>
    </row>
    <row s="6074" customFormat="1" customHeight="1" ht="11.549999999999999">
      <c r="A18" s="1483"/>
      <c r="B18" s="1483"/>
      <c r="C18" s="1483"/>
      <c r="D18" s="1483"/>
      <c r="E18" s="1483"/>
      <c r="F18" s="1475"/>
      <c r="G18" s="1475"/>
      <c r="H18" s="1475"/>
      <c r="I18" s="1359"/>
      <c r="J18" s="1360"/>
      <c r="K18" s="1367">
        <v>1</v>
      </c>
      <c r="L18" s="1390" t="s">
        <v>136</v>
      </c>
      <c r="M18" s="1368" t="s">
        <v>103</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199</v>
      </c>
      <c r="B19" s="1476" t="s">
        <v>200</v>
      </c>
      <c r="C19" s="1476" t="s">
        <v>201</v>
      </c>
      <c r="D19" s="1476" t="s">
        <v>202</v>
      </c>
      <c r="E19" s="1476"/>
      <c r="F19" s="1478"/>
      <c r="G19" s="1478"/>
      <c r="H19" s="1478"/>
      <c r="I19" s="474"/>
      <c r="J19" s="473"/>
      <c r="K19" s="468"/>
      <c r="L19" s="1406">
        <f>INDEX(PT_DIFFERENTIATION_NUM_NTAR,MATCH(A19,PT_DIFFERENTIATION_NTAR_ID,0))</f>
        <v>0</v>
      </c>
      <c r="M19" s="411" t="s">
        <v>155</v>
      </c>
      <c r="N19" s="413"/>
      <c r="O19" s="2719" t="str">
        <f>INDEX(PT_DIFFERENTIATION_NTAR,MATCH(A19,PT_DIFFERENTIATION_NTAR_ID,0))</f>
        <v/>
      </c>
      <c r="P19" s="2719"/>
      <c r="Q19" s="2719"/>
      <c r="R19" s="2719"/>
      <c r="S19" s="2719"/>
      <c r="T19" s="2719"/>
      <c r="U19" s="2719"/>
      <c r="V19" s="2719"/>
      <c r="W19" s="2719"/>
      <c r="X19" s="1371" t="s">
        <v>489</v>
      </c>
      <c r="Z19" s="613"/>
      <c r="AA19" s="613" t="str">
        <f>IF(M19="","",M19)</f>
        <v>Наименование тарифа</v>
      </c>
      <c r="AB19" s="613"/>
      <c r="AC19" s="613"/>
      <c r="AD19" s="1268">
        <v>20</v>
      </c>
    </row>
    <row customHeight="1" ht="21">
      <c r="A20" s="1476" t="s">
        <v>199</v>
      </c>
      <c r="B20" s="1476" t="s">
        <v>200</v>
      </c>
      <c r="C20" s="1476" t="s">
        <v>201</v>
      </c>
      <c r="D20" s="1476" t="s">
        <v>202</v>
      </c>
      <c r="E20" s="1476"/>
      <c r="F20" s="1478"/>
      <c r="G20" s="1478"/>
      <c r="H20" s="1478"/>
      <c r="I20" s="1403"/>
      <c r="J20" s="465"/>
      <c r="K20" s="466"/>
      <c r="L20" s="1406" t="str">
        <f>INDEX(PT_DIFFERENTIATION_NUM_TER,MATCH(B19,PT_DIFFERENTIATION_TER_ID,0))</f>
        <v>.</v>
      </c>
      <c r="M20" s="421" t="s">
        <v>490</v>
      </c>
      <c r="N20" s="413"/>
      <c r="O20" s="2719" t="str">
        <f>INDEX(PT_DIFFERENTIATION_TER,MATCH(B19,PT_DIFFERENTIATION_TER_ID,0))</f>
        <v/>
      </c>
      <c r="P20" s="2719"/>
      <c r="Q20" s="2719"/>
      <c r="R20" s="2719"/>
      <c r="S20" s="2719"/>
      <c r="T20" s="2719"/>
      <c r="U20" s="2719"/>
      <c r="V20" s="2719"/>
      <c r="W20" s="2719"/>
      <c r="X20" s="1371" t="s">
        <v>491</v>
      </c>
      <c r="Z20" s="613"/>
      <c r="AA20" s="613" t="str">
        <f>IF(M20="","",M20)</f>
        <v>Территория действия тарифа</v>
      </c>
      <c r="AB20" s="613"/>
      <c r="AC20" s="613"/>
      <c r="AD20" s="1268">
        <v>20</v>
      </c>
    </row>
    <row customHeight="1" ht="24">
      <c r="A21" s="1476" t="s">
        <v>199</v>
      </c>
      <c r="B21" s="1476" t="s">
        <v>200</v>
      </c>
      <c r="C21" s="1476" t="s">
        <v>201</v>
      </c>
      <c r="D21" s="1476" t="s">
        <v>202</v>
      </c>
      <c r="E21" s="1476"/>
      <c r="F21" s="1478"/>
      <c r="G21" s="1478"/>
      <c r="H21" s="1478"/>
      <c r="I21" s="467"/>
      <c r="J21" s="465"/>
      <c r="K21" s="466"/>
      <c r="L21" s="1406" t="str">
        <f>INDEX(PT_DIFFERENTIATION_NUM_CS,MATCH(C19,PT_DIFFERENTIATION_CS_ID,0))</f>
        <v>..</v>
      </c>
      <c r="M21" s="422" t="s">
        <v>492</v>
      </c>
      <c r="N21" s="413"/>
      <c r="O21" s="2719" t="str">
        <f>INDEX(PT_DIFFERENTIATION_CS,MATCH(C19,PT_DIFFERENTIATION_CS_ID,0))</f>
        <v/>
      </c>
      <c r="P21" s="2719"/>
      <c r="Q21" s="2719"/>
      <c r="R21" s="2719"/>
      <c r="S21" s="2719"/>
      <c r="T21" s="2719"/>
      <c r="U21" s="2719"/>
      <c r="V21" s="2719"/>
      <c r="W21" s="2719"/>
      <c r="X21" s="1371" t="s">
        <v>493</v>
      </c>
      <c r="Z21" s="613"/>
      <c r="AA21" s="613" t="str">
        <f>IF(M21="","",M21)</f>
        <v>Наименование системы теплоснабжения </v>
      </c>
      <c r="AB21" s="613"/>
      <c r="AC21" s="613"/>
      <c r="AD21" s="1268">
        <v>23</v>
      </c>
    </row>
    <row customHeight="1" ht="21">
      <c r="A22" s="1476" t="s">
        <v>199</v>
      </c>
      <c r="B22" s="1476" t="s">
        <v>200</v>
      </c>
      <c r="C22" s="1476" t="s">
        <v>201</v>
      </c>
      <c r="D22" s="1476" t="s">
        <v>202</v>
      </c>
      <c r="E22" s="1476"/>
      <c r="F22" s="1478"/>
      <c r="G22" s="1478"/>
      <c r="H22" s="1478"/>
      <c r="I22" s="467"/>
      <c r="J22" s="465"/>
      <c r="K22" s="466"/>
      <c r="L22" s="1406" t="str">
        <f>INDEX(PT_DIFFERENTIATION_NUM_IST_TE,MATCH(D19,PT_DIFFERENTIATION_IST_TE_ID,0))</f>
        <v>...</v>
      </c>
      <c r="M22" s="423" t="s">
        <v>494</v>
      </c>
      <c r="N22" s="413"/>
      <c r="O22" s="2719" t="str">
        <f>INDEX(PT_DIFFERENTIATION_IST_TE,MATCH(D19,PT_DIFFERENTIATION_IST_TE_ID,0))</f>
        <v/>
      </c>
      <c r="P22" s="2719"/>
      <c r="Q22" s="2719"/>
      <c r="R22" s="2719"/>
      <c r="S22" s="2719"/>
      <c r="T22" s="2719"/>
      <c r="U22" s="2719"/>
      <c r="V22" s="2719"/>
      <c r="W22" s="2719"/>
      <c r="X22" s="1371" t="s">
        <v>495</v>
      </c>
      <c r="Z22" s="613"/>
      <c r="AA22" s="613" t="str">
        <f>IF(M22="","",M22)</f>
        <v>Источник тепловой энергии  </v>
      </c>
      <c r="AB22" s="613"/>
      <c r="AC22" s="613"/>
      <c r="AD22" s="1268">
        <v>20</v>
      </c>
    </row>
    <row customHeight="1" ht="96.75">
      <c r="A23" s="1476" t="s">
        <v>199</v>
      </c>
      <c r="B23" s="1476" t="s">
        <v>200</v>
      </c>
      <c r="C23" s="1476" t="s">
        <v>201</v>
      </c>
      <c r="D23" s="1476" t="s">
        <v>202</v>
      </c>
      <c r="E23" s="1476"/>
      <c r="F23" s="2720" t="str">
        <f>L22&amp;".1"</f>
        <v>....1</v>
      </c>
      <c r="I23" s="2370">
        <v>1</v>
      </c>
      <c r="J23" s="1404"/>
      <c r="K23" s="469"/>
      <c r="L23" s="1406" t="str">
        <f>$F$23</f>
        <v>....1</v>
      </c>
      <c r="M23" s="398" t="s">
        <v>497</v>
      </c>
      <c r="N23" s="413"/>
      <c r="O23" s="2418"/>
      <c r="P23" s="2418"/>
      <c r="Q23" s="2418"/>
      <c r="R23" s="2418"/>
      <c r="S23" s="2418"/>
      <c r="T23" s="2418"/>
      <c r="U23" s="2418"/>
      <c r="V23" s="2418"/>
      <c r="W23" s="2418"/>
      <c r="X23" s="1371" t="s">
        <v>498</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199</v>
      </c>
      <c r="B24" s="1476" t="s">
        <v>200</v>
      </c>
      <c r="C24" s="1476" t="s">
        <v>201</v>
      </c>
      <c r="D24" s="1476" t="s">
        <v>202</v>
      </c>
      <c r="E24" s="1476"/>
      <c r="F24" s="2720"/>
      <c r="G24" s="2330" t="str">
        <f>F23&amp;".1"</f>
        <v>....1.1</v>
      </c>
      <c r="I24" s="2370"/>
      <c r="J24" s="2370">
        <v>1</v>
      </c>
      <c r="K24" s="470"/>
      <c r="L24" s="1406" t="str">
        <f>$G$24</f>
        <v>....1.1</v>
      </c>
      <c r="M24" s="399" t="s">
        <v>500</v>
      </c>
      <c r="N24" s="413"/>
      <c r="O24" s="2358"/>
      <c r="P24" s="2359"/>
      <c r="Q24" s="2359"/>
      <c r="R24" s="2359"/>
      <c r="S24" s="2359"/>
      <c r="T24" s="2359"/>
      <c r="U24" s="2359"/>
      <c r="V24" s="2359"/>
      <c r="W24" s="2360"/>
      <c r="X24" s="1371" t="s">
        <v>501</v>
      </c>
      <c r="Z24" s="613"/>
      <c r="AA24" s="613" t="str">
        <f>IF(M24="","",M24)</f>
        <v>Группа потребителей</v>
      </c>
      <c r="AB24" s="613"/>
      <c r="AC24" s="613"/>
      <c r="AD24" s="1268">
        <v>82</v>
      </c>
    </row>
    <row customHeight="1" ht="11.549999999999999">
      <c r="A25" s="1476" t="s">
        <v>199</v>
      </c>
      <c r="B25" s="1476" t="s">
        <v>200</v>
      </c>
      <c r="C25" s="1476" t="s">
        <v>201</v>
      </c>
      <c r="D25" s="1476" t="s">
        <v>202</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503</v>
      </c>
      <c r="Y25" s="624">
        <f>STRCHECKDATE(O26:W26)</f>
      </c>
      <c r="Z25" s="613"/>
      <c r="AA25" s="613" t="str">
        <f>IF(M25="","",M25)</f>
        <v/>
      </c>
      <c r="AB25" s="613"/>
      <c r="AC25" s="613"/>
      <c r="AD25" s="1268">
        <v>11</v>
      </c>
    </row>
    <row customHeight="1" ht="11.549999999999999">
      <c r="A26" s="1476" t="s">
        <v>199</v>
      </c>
      <c r="B26" s="1476" t="s">
        <v>200</v>
      </c>
      <c r="C26" s="1476" t="s">
        <v>201</v>
      </c>
      <c r="D26" s="1476" t="s">
        <v>202</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199</v>
      </c>
      <c r="B27" s="1476" t="s">
        <v>200</v>
      </c>
      <c r="C27" s="1476" t="s">
        <v>201</v>
      </c>
      <c r="D27" s="1476" t="s">
        <v>202</v>
      </c>
      <c r="E27" s="1476"/>
      <c r="F27" s="2720"/>
      <c r="G27" s="2330"/>
      <c r="I27" s="2370"/>
      <c r="J27" s="2370"/>
      <c r="K27" s="469"/>
      <c r="L27" s="1391"/>
      <c r="M27" s="401" t="s">
        <v>504</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199</v>
      </c>
      <c r="B28" s="1476" t="s">
        <v>200</v>
      </c>
      <c r="C28" s="1476" t="s">
        <v>201</v>
      </c>
      <c r="D28" s="1476" t="s">
        <v>202</v>
      </c>
      <c r="E28" s="1476"/>
      <c r="F28" s="2720"/>
      <c r="I28" s="2370"/>
      <c r="J28" s="1404"/>
      <c r="K28" s="469"/>
      <c r="L28" s="1391"/>
      <c r="M28" s="400" t="s">
        <v>505</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199</v>
      </c>
      <c r="B29" s="1476" t="s">
        <v>200</v>
      </c>
      <c r="C29" s="1476" t="s">
        <v>201</v>
      </c>
      <c r="D29" s="1476" t="s">
        <v>202</v>
      </c>
      <c r="E29" s="1476"/>
      <c r="F29" s="1478"/>
      <c r="G29" s="1478"/>
      <c r="H29" s="650"/>
      <c r="I29" s="473"/>
      <c r="J29" s="488"/>
      <c r="K29" s="468"/>
      <c r="L29" s="1391"/>
      <c r="M29" s="478" t="s">
        <v>506</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199</v>
      </c>
      <c r="B30" s="1476" t="s">
        <v>200</v>
      </c>
      <c r="C30" s="1476" t="s">
        <v>201</v>
      </c>
      <c r="D30" s="1476"/>
      <c r="E30" s="1476" t="s">
        <v>677</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199</v>
      </c>
      <c r="B31" s="1476" t="s">
        <v>200</v>
      </c>
      <c r="C31" s="1476"/>
      <c r="D31" s="1476"/>
      <c r="E31" s="1476" t="s">
        <v>2326</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2327</v>
      </c>
      <c r="B32" s="1476"/>
      <c r="C32" s="1476"/>
      <c r="D32" s="1476"/>
      <c r="E32" s="1476" t="s">
        <v>140</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28" customFormat="1" customHeight="1" ht="11.549999999999999">
      <c r="A33" s="1476"/>
      <c r="B33" s="1476"/>
      <c r="C33" s="1476"/>
      <c r="D33" s="1476"/>
      <c r="E33" s="1476" t="s">
        <v>361</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894</v>
      </c>
      <c r="M35" s="2398" t="s">
        <v>2328</v>
      </c>
      <c r="N35" s="2398"/>
      <c r="O35" s="2398"/>
      <c r="P35" s="2398"/>
      <c r="Q35" s="2398"/>
      <c r="R35" s="2398"/>
      <c r="S35" s="2398"/>
      <c r="T35" s="2398"/>
      <c r="U35" s="2398"/>
      <c r="V35" s="2398"/>
      <c r="W35" s="2398"/>
      <c r="X35" s="2398"/>
      <c r="AD35" s="1268">
        <v>27</v>
      </c>
    </row>
    <row customHeight="1" ht="109.19999999999999">
      <c r="H36" s="650"/>
      <c r="I36" s="1416"/>
      <c r="M36" s="2398" t="s">
        <v>2329</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5EF8A-DBFA-AECB-D395-BF09E2D088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BF69F-C871-395F-89B8-6C19D39FF6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809D1-BAE5-F393-CFE4-38A1A36015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08E2B-8CA7-7A45-9A1F-0EF671075B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DF7F7-772E-CC01-609F-783C488786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A11FA-A7BB-0F49-CCF1-0731BC51A2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6C96A-E375-8531-703B-C5A80036E6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E4EFC-2A3A-5DE3-FDAF-AEEEFA8BD6E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C5058-F3FC-FEEF-CB9D-1526CEC70F99}" mc:Ignorable="x14ac xr xr2 xr3">
  <dimension ref="A1:E8"/>
  <sheetViews>
    <sheetView topLeftCell="A1" showGridLines="0" workbookViewId="0">
      <selection activeCell="A1" sqref="A1"/>
    </sheetView>
  </sheetViews>
  <sheetFormatPr customHeight="1" defaultRowHeight="11.25"/>
  <cols>
    <col min="1" max="1" style="10354" width="10.57421875" customWidth="1"/>
    <col min="2" max="2" style="10354" width="8.7109375" customWidth="1"/>
    <col min="3" max="3" style="10354" width="18.140625" customWidth="1"/>
    <col min="4" max="4" style="10354" width="12.57421875" customWidth="1"/>
  </cols>
  <sheetData>
    <row customHeight="1" ht="11.25">
      <c r="A1" s="2728" t="s">
        <v>2330</v>
      </c>
      <c r="B1" s="2729" t="s">
        <v>2331</v>
      </c>
      <c r="C1" s="2730" t="s">
        <v>2332</v>
      </c>
      <c r="D1" s="2731"/>
      <c r="E1" s="949" t="s">
        <v>2333</v>
      </c>
    </row>
    <row customHeight="1" ht="11.25">
      <c r="A2" s="2732"/>
      <c r="B2" s="878" t="s">
        <v>26</v>
      </c>
      <c r="C2" s="866"/>
      <c r="D2" s="877"/>
      <c r="E2" s="949"/>
    </row>
    <row customHeight="1" ht="11.25">
      <c r="A3" s="2733"/>
      <c r="B3" s="2734" t="s">
        <v>33</v>
      </c>
      <c r="C3" s="866"/>
      <c r="D3" s="877"/>
      <c r="E3" s="949"/>
    </row>
    <row customHeight="1" ht="11.25">
      <c r="A4" s="2735"/>
      <c r="B4" s="879" t="s">
        <v>1756</v>
      </c>
      <c r="C4" s="866"/>
      <c r="D4" s="877"/>
      <c r="E4" s="949"/>
    </row>
    <row customHeight="1" ht="11.25">
      <c r="A5" s="2736"/>
      <c r="B5" s="879" t="s">
        <v>1751</v>
      </c>
      <c r="C5" s="2737" t="s">
        <v>2097</v>
      </c>
      <c r="D5" s="2738" t="s">
        <v>2334</v>
      </c>
      <c r="E5" s="949"/>
    </row>
    <row s="5528" customFormat="1" customHeight="1" ht="11.25">
      <c r="A6" s="2739"/>
      <c r="B6" s="879" t="s">
        <v>1760</v>
      </c>
      <c r="C6" s="866"/>
      <c r="D6" s="877"/>
      <c r="E6" s="949"/>
    </row>
    <row customHeight="1" ht="11.25">
      <c r="A7" s="2740"/>
      <c r="B7" s="879" t="s">
        <v>1767</v>
      </c>
      <c r="C7" s="866"/>
      <c r="D7" s="877"/>
      <c r="E7" s="949"/>
    </row>
    <row customHeight="1" ht="11.25">
      <c r="A8" s="869"/>
      <c r="B8" s="879" t="s">
        <v>1763</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331EA-19F9-29FD-3E5A-AEFEE62678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6063B-3F43-9475-EBC2-94FB7EE488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A4BB3-891C-93EA-A641-FEFA6C54C3CD}"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5528" width="9.140625"/>
    <col min="3" max="3" style="5528" width="20.7109375" customWidth="1"/>
    <col min="4" max="4" style="5528" width="25.140625" customWidth="1"/>
    <col min="5" max="9" style="5528" width="9.140625"/>
  </cols>
  <sheetData>
    <row customHeight="1" ht="11.25">
      <c r="A1" s="181" t="s">
        <v>2335</v>
      </c>
      <c r="B1" s="181" t="s">
        <v>2336</v>
      </c>
      <c r="C1" s="181" t="s">
        <v>2337</v>
      </c>
      <c r="D1" s="181" t="s">
        <v>2338</v>
      </c>
      <c r="E1" s="181" t="s">
        <v>2339</v>
      </c>
      <c r="F1" s="181" t="s">
        <v>2340</v>
      </c>
      <c r="G1" s="181" t="s">
        <v>2341</v>
      </c>
      <c r="H1" s="181" t="s">
        <v>2342</v>
      </c>
      <c r="I1" s="181" t="s">
        <v>2343</v>
      </c>
    </row>
    <row customHeight="1" ht="11.25">
      <c r="A2" s="5279" t="s">
        <v>2344</v>
      </c>
      <c r="B2" s="5279" t="s">
        <v>16</v>
      </c>
      <c r="C2" s="5279" t="s">
        <v>28</v>
      </c>
      <c r="D2" s="5279" t="s">
        <v>2345</v>
      </c>
      <c r="E2" s="5279" t="s">
        <v>2346</v>
      </c>
      <c r="F2" s="5279" t="s">
        <v>2347</v>
      </c>
      <c r="G2" s="5279" t="s">
        <v>28</v>
      </c>
      <c r="H2" s="5279" t="s">
        <v>28</v>
      </c>
      <c r="I2" s="5279" t="s">
        <v>898</v>
      </c>
    </row>
    <row customHeight="1" ht="11.25">
      <c r="A3" s="5279" t="s">
        <v>2344</v>
      </c>
      <c r="B3" s="5279" t="s">
        <v>16</v>
      </c>
      <c r="C3" s="5279" t="s">
        <v>2348</v>
      </c>
      <c r="D3" s="5279" t="s">
        <v>2349</v>
      </c>
      <c r="E3" s="5279" t="s">
        <v>2350</v>
      </c>
      <c r="F3" s="5279" t="s">
        <v>2351</v>
      </c>
      <c r="G3" s="5279" t="s">
        <v>28</v>
      </c>
      <c r="H3" s="5279" t="s">
        <v>28</v>
      </c>
      <c r="I3" s="5279" t="s">
        <v>898</v>
      </c>
    </row>
    <row customHeight="1" ht="11.25">
      <c r="A4" s="5279" t="s">
        <v>2344</v>
      </c>
      <c r="B4" s="5279" t="s">
        <v>16</v>
      </c>
      <c r="C4" s="5279" t="s">
        <v>2352</v>
      </c>
      <c r="D4" s="5279" t="s">
        <v>2353</v>
      </c>
      <c r="E4" s="5279" t="s">
        <v>2354</v>
      </c>
      <c r="F4" s="5279" t="s">
        <v>2355</v>
      </c>
      <c r="G4" s="5279" t="s">
        <v>28</v>
      </c>
      <c r="H4" s="5279" t="s">
        <v>28</v>
      </c>
      <c r="I4" s="5279" t="s">
        <v>898</v>
      </c>
    </row>
    <row customHeight="1" ht="11.25">
      <c r="A5" s="5279" t="s">
        <v>2344</v>
      </c>
      <c r="B5" s="5279" t="s">
        <v>16</v>
      </c>
      <c r="C5" s="5279" t="s">
        <v>2356</v>
      </c>
      <c r="D5" s="5279" t="s">
        <v>2357</v>
      </c>
      <c r="E5" s="5279" t="s">
        <v>2358</v>
      </c>
      <c r="F5" s="5279" t="s">
        <v>2359</v>
      </c>
      <c r="G5" s="5279" t="s">
        <v>28</v>
      </c>
      <c r="H5" s="5279" t="s">
        <v>28</v>
      </c>
      <c r="I5" s="5279" t="s">
        <v>898</v>
      </c>
    </row>
    <row customHeight="1" ht="11.25">
      <c r="A6" s="5279" t="s">
        <v>2344</v>
      </c>
      <c r="B6" s="5279" t="s">
        <v>16</v>
      </c>
      <c r="C6" s="5279" t="s">
        <v>2360</v>
      </c>
      <c r="D6" s="5279" t="s">
        <v>2361</v>
      </c>
      <c r="E6" s="5279" t="s">
        <v>2362</v>
      </c>
      <c r="F6" s="5279" t="s">
        <v>2363</v>
      </c>
      <c r="G6" s="5279" t="s">
        <v>28</v>
      </c>
      <c r="H6" s="5279" t="s">
        <v>28</v>
      </c>
      <c r="I6" s="5279" t="s">
        <v>898</v>
      </c>
    </row>
    <row customHeight="1" ht="11.25">
      <c r="A7" s="5279" t="s">
        <v>2344</v>
      </c>
      <c r="B7" s="5279" t="s">
        <v>16</v>
      </c>
      <c r="C7" s="5279" t="s">
        <v>2364</v>
      </c>
      <c r="D7" s="5279" t="s">
        <v>2361</v>
      </c>
      <c r="E7" s="5279" t="s">
        <v>2362</v>
      </c>
      <c r="F7" s="5279" t="s">
        <v>2365</v>
      </c>
      <c r="G7" s="5279" t="s">
        <v>2366</v>
      </c>
      <c r="H7" s="5279" t="s">
        <v>28</v>
      </c>
      <c r="I7" s="5279" t="s">
        <v>898</v>
      </c>
    </row>
    <row customHeight="1" ht="11.25">
      <c r="A8" s="5279" t="s">
        <v>2344</v>
      </c>
      <c r="B8" s="5279" t="s">
        <v>16</v>
      </c>
      <c r="C8" s="5279" t="s">
        <v>2367</v>
      </c>
      <c r="D8" s="5279" t="s">
        <v>2368</v>
      </c>
      <c r="E8" s="5279" t="s">
        <v>2362</v>
      </c>
      <c r="F8" s="5279" t="s">
        <v>2369</v>
      </c>
      <c r="G8" s="5279" t="s">
        <v>28</v>
      </c>
      <c r="H8" s="5279" t="s">
        <v>28</v>
      </c>
      <c r="I8" s="5279" t="s">
        <v>898</v>
      </c>
    </row>
    <row customHeight="1" ht="11.25">
      <c r="A9" s="5279" t="s">
        <v>2344</v>
      </c>
      <c r="B9" s="5279" t="s">
        <v>16</v>
      </c>
      <c r="C9" s="5279" t="s">
        <v>2370</v>
      </c>
      <c r="D9" s="5279" t="s">
        <v>2371</v>
      </c>
      <c r="E9" s="5279" t="s">
        <v>2362</v>
      </c>
      <c r="F9" s="5279" t="s">
        <v>2372</v>
      </c>
      <c r="G9" s="5279" t="s">
        <v>28</v>
      </c>
      <c r="H9" s="5279" t="s">
        <v>28</v>
      </c>
      <c r="I9" s="5279" t="s">
        <v>898</v>
      </c>
    </row>
    <row customHeight="1" ht="11.25">
      <c r="A10" s="5279" t="s">
        <v>2344</v>
      </c>
      <c r="B10" s="5279" t="s">
        <v>16</v>
      </c>
      <c r="C10" s="5279" t="s">
        <v>2373</v>
      </c>
      <c r="D10" s="5279" t="s">
        <v>2374</v>
      </c>
      <c r="E10" s="5279" t="s">
        <v>2375</v>
      </c>
      <c r="F10" s="5279" t="s">
        <v>2376</v>
      </c>
      <c r="G10" s="5279" t="s">
        <v>28</v>
      </c>
      <c r="H10" s="5279" t="s">
        <v>28</v>
      </c>
      <c r="I10" s="5279" t="s">
        <v>898</v>
      </c>
    </row>
    <row customHeight="1" ht="11.25">
      <c r="A11" s="5279" t="s">
        <v>2344</v>
      </c>
      <c r="B11" s="5279" t="s">
        <v>16</v>
      </c>
      <c r="C11" s="5279" t="s">
        <v>2377</v>
      </c>
      <c r="D11" s="5279" t="s">
        <v>2378</v>
      </c>
      <c r="E11" s="5279" t="s">
        <v>2379</v>
      </c>
      <c r="F11" s="5279" t="s">
        <v>2380</v>
      </c>
      <c r="G11" s="5279" t="s">
        <v>28</v>
      </c>
      <c r="H11" s="5279" t="s">
        <v>28</v>
      </c>
      <c r="I11" s="5279" t="s">
        <v>898</v>
      </c>
    </row>
    <row customHeight="1" ht="11.25">
      <c r="A12" s="5279" t="s">
        <v>2344</v>
      </c>
      <c r="B12" s="5279" t="s">
        <v>16</v>
      </c>
      <c r="C12" s="5279" t="s">
        <v>2381</v>
      </c>
      <c r="D12" s="5279" t="s">
        <v>2382</v>
      </c>
      <c r="E12" s="5279" t="s">
        <v>2383</v>
      </c>
      <c r="F12" s="5279" t="s">
        <v>2384</v>
      </c>
      <c r="G12" s="5279" t="s">
        <v>28</v>
      </c>
      <c r="H12" s="5279" t="s">
        <v>28</v>
      </c>
      <c r="I12" s="5279" t="s">
        <v>898</v>
      </c>
    </row>
    <row customHeight="1" ht="11.25">
      <c r="A13" s="5279" t="s">
        <v>2344</v>
      </c>
      <c r="B13" s="5279" t="s">
        <v>16</v>
      </c>
      <c r="C13" s="5279" t="s">
        <v>2385</v>
      </c>
      <c r="D13" s="5279" t="s">
        <v>2386</v>
      </c>
      <c r="E13" s="5279" t="s">
        <v>2387</v>
      </c>
      <c r="F13" s="5279" t="s">
        <v>2388</v>
      </c>
      <c r="G13" s="5279" t="s">
        <v>2389</v>
      </c>
      <c r="H13" s="5279" t="s">
        <v>28</v>
      </c>
      <c r="I13" s="5279" t="s">
        <v>898</v>
      </c>
    </row>
    <row customHeight="1" ht="11.25">
      <c r="A14" s="5279" t="s">
        <v>2344</v>
      </c>
      <c r="B14" s="5279" t="s">
        <v>16</v>
      </c>
      <c r="C14" s="5279" t="s">
        <v>2390</v>
      </c>
      <c r="D14" s="5279" t="s">
        <v>2391</v>
      </c>
      <c r="E14" s="5279" t="s">
        <v>2392</v>
      </c>
      <c r="F14" s="5279" t="s">
        <v>2355</v>
      </c>
      <c r="G14" s="5279" t="s">
        <v>28</v>
      </c>
      <c r="H14" s="5279" t="s">
        <v>28</v>
      </c>
      <c r="I14" s="5279" t="s">
        <v>898</v>
      </c>
    </row>
    <row customHeight="1" ht="11.25">
      <c r="A15" s="5279" t="s">
        <v>2344</v>
      </c>
      <c r="B15" s="5279" t="s">
        <v>16</v>
      </c>
      <c r="C15" s="5279" t="s">
        <v>2393</v>
      </c>
      <c r="D15" s="5279" t="s">
        <v>2394</v>
      </c>
      <c r="E15" s="5279" t="s">
        <v>2395</v>
      </c>
      <c r="F15" s="5279" t="s">
        <v>2396</v>
      </c>
      <c r="G15" s="5279" t="s">
        <v>28</v>
      </c>
      <c r="H15" s="5279" t="s">
        <v>28</v>
      </c>
      <c r="I15" s="5279" t="s">
        <v>898</v>
      </c>
    </row>
    <row customHeight="1" ht="11.25">
      <c r="A16" s="5279" t="s">
        <v>2344</v>
      </c>
      <c r="B16" s="5279" t="s">
        <v>16</v>
      </c>
      <c r="C16" s="5279" t="s">
        <v>2397</v>
      </c>
      <c r="D16" s="5279" t="s">
        <v>2398</v>
      </c>
      <c r="E16" s="5279" t="s">
        <v>2399</v>
      </c>
      <c r="F16" s="5279" t="s">
        <v>2400</v>
      </c>
      <c r="G16" s="5279" t="s">
        <v>2401</v>
      </c>
      <c r="H16" s="5279" t="s">
        <v>28</v>
      </c>
      <c r="I16" s="5279" t="s">
        <v>898</v>
      </c>
    </row>
    <row customHeight="1" ht="11.25">
      <c r="A17" s="5279" t="s">
        <v>2344</v>
      </c>
      <c r="B17" s="5279" t="s">
        <v>16</v>
      </c>
      <c r="C17" s="5279" t="s">
        <v>2402</v>
      </c>
      <c r="D17" s="5279" t="s">
        <v>2403</v>
      </c>
      <c r="E17" s="5279" t="s">
        <v>2404</v>
      </c>
      <c r="F17" s="5279" t="s">
        <v>2405</v>
      </c>
      <c r="G17" s="5279" t="s">
        <v>2406</v>
      </c>
      <c r="H17" s="5279" t="s">
        <v>28</v>
      </c>
      <c r="I17" s="5279" t="s">
        <v>898</v>
      </c>
    </row>
    <row customHeight="1" ht="11.25">
      <c r="A18" s="5279" t="s">
        <v>2344</v>
      </c>
      <c r="B18" s="5279" t="s">
        <v>16</v>
      </c>
      <c r="C18" s="5279" t="s">
        <v>2407</v>
      </c>
      <c r="D18" s="5279" t="s">
        <v>2408</v>
      </c>
      <c r="E18" s="5279" t="s">
        <v>2409</v>
      </c>
      <c r="F18" s="5279" t="s">
        <v>2376</v>
      </c>
      <c r="G18" s="5279" t="s">
        <v>28</v>
      </c>
      <c r="H18" s="5279" t="s">
        <v>28</v>
      </c>
      <c r="I18" s="5279" t="s">
        <v>898</v>
      </c>
    </row>
    <row customHeight="1" ht="11.25">
      <c r="A19" s="5279" t="s">
        <v>2344</v>
      </c>
      <c r="B19" s="5279" t="s">
        <v>16</v>
      </c>
      <c r="C19" s="5279" t="s">
        <v>2410</v>
      </c>
      <c r="D19" s="5279" t="s">
        <v>2411</v>
      </c>
      <c r="E19" s="5279" t="s">
        <v>2412</v>
      </c>
      <c r="F19" s="5279" t="s">
        <v>2413</v>
      </c>
      <c r="G19" s="5279" t="s">
        <v>28</v>
      </c>
      <c r="H19" s="5279" t="s">
        <v>28</v>
      </c>
      <c r="I19" s="5279" t="s">
        <v>898</v>
      </c>
    </row>
    <row customHeight="1" ht="11.25">
      <c r="A20" s="5279" t="s">
        <v>2344</v>
      </c>
      <c r="B20" s="5279" t="s">
        <v>16</v>
      </c>
      <c r="C20" s="5279" t="s">
        <v>2414</v>
      </c>
      <c r="D20" s="5279" t="s">
        <v>2415</v>
      </c>
      <c r="E20" s="5279" t="s">
        <v>2416</v>
      </c>
      <c r="F20" s="5279" t="s">
        <v>2384</v>
      </c>
      <c r="G20" s="5279" t="s">
        <v>2417</v>
      </c>
      <c r="H20" s="5279" t="s">
        <v>28</v>
      </c>
      <c r="I20" s="5279" t="s">
        <v>898</v>
      </c>
    </row>
    <row customHeight="1" ht="11.25">
      <c r="A21" s="5279" t="s">
        <v>2344</v>
      </c>
      <c r="B21" s="5279" t="s">
        <v>16</v>
      </c>
      <c r="C21" s="5279" t="s">
        <v>2418</v>
      </c>
      <c r="D21" s="5279" t="s">
        <v>2419</v>
      </c>
      <c r="E21" s="5279" t="s">
        <v>2420</v>
      </c>
      <c r="F21" s="5279" t="s">
        <v>2421</v>
      </c>
      <c r="G21" s="5279" t="s">
        <v>28</v>
      </c>
      <c r="H21" s="5279" t="s">
        <v>28</v>
      </c>
      <c r="I21" s="5279" t="s">
        <v>898</v>
      </c>
    </row>
    <row customHeight="1" ht="11.25">
      <c r="A22" s="5279" t="s">
        <v>2344</v>
      </c>
      <c r="B22" s="5279" t="s">
        <v>16</v>
      </c>
      <c r="C22" s="5279" t="s">
        <v>2422</v>
      </c>
      <c r="D22" s="5279" t="s">
        <v>2423</v>
      </c>
      <c r="E22" s="5279" t="s">
        <v>2424</v>
      </c>
      <c r="F22" s="5279" t="s">
        <v>2347</v>
      </c>
      <c r="G22" s="5279" t="s">
        <v>2425</v>
      </c>
      <c r="H22" s="5279" t="s">
        <v>28</v>
      </c>
      <c r="I22" s="5279" t="s">
        <v>898</v>
      </c>
    </row>
    <row customHeight="1" ht="11.25">
      <c r="A23" s="5279" t="s">
        <v>2344</v>
      </c>
      <c r="B23" s="5279" t="s">
        <v>16</v>
      </c>
      <c r="C23" s="5279" t="s">
        <v>2426</v>
      </c>
      <c r="D23" s="5279" t="s">
        <v>2427</v>
      </c>
      <c r="E23" s="5279" t="s">
        <v>2428</v>
      </c>
      <c r="F23" s="5279" t="s">
        <v>2429</v>
      </c>
      <c r="G23" s="5279" t="s">
        <v>28</v>
      </c>
      <c r="H23" s="5279" t="s">
        <v>28</v>
      </c>
      <c r="I23" s="5279" t="s">
        <v>898</v>
      </c>
    </row>
    <row customHeight="1" ht="11.25">
      <c r="A24" s="5279" t="s">
        <v>2344</v>
      </c>
      <c r="B24" s="5279" t="s">
        <v>16</v>
      </c>
      <c r="C24" s="5279" t="s">
        <v>2430</v>
      </c>
      <c r="D24" s="5279" t="s">
        <v>2431</v>
      </c>
      <c r="E24" s="5279" t="s">
        <v>2432</v>
      </c>
      <c r="F24" s="5279" t="s">
        <v>2384</v>
      </c>
      <c r="G24" s="5279" t="s">
        <v>28</v>
      </c>
      <c r="H24" s="5279" t="s">
        <v>28</v>
      </c>
      <c r="I24" s="5279" t="s">
        <v>898</v>
      </c>
    </row>
    <row customHeight="1" ht="11.25">
      <c r="A25" s="5279" t="s">
        <v>2344</v>
      </c>
      <c r="B25" s="5279" t="s">
        <v>16</v>
      </c>
      <c r="C25" s="5279" t="s">
        <v>2433</v>
      </c>
      <c r="D25" s="5279" t="s">
        <v>2434</v>
      </c>
      <c r="E25" s="5279" t="s">
        <v>2435</v>
      </c>
      <c r="F25" s="5279" t="s">
        <v>2347</v>
      </c>
      <c r="G25" s="5279" t="s">
        <v>28</v>
      </c>
      <c r="H25" s="5279" t="s">
        <v>28</v>
      </c>
      <c r="I25" s="5279" t="s">
        <v>898</v>
      </c>
    </row>
    <row customHeight="1" ht="11.25">
      <c r="A26" s="5279" t="s">
        <v>2344</v>
      </c>
      <c r="B26" s="5279" t="s">
        <v>16</v>
      </c>
      <c r="C26" s="5279" t="s">
        <v>2436</v>
      </c>
      <c r="D26" s="5279" t="s">
        <v>2437</v>
      </c>
      <c r="E26" s="5279" t="s">
        <v>2438</v>
      </c>
      <c r="F26" s="5279" t="s">
        <v>2439</v>
      </c>
      <c r="G26" s="5279" t="s">
        <v>28</v>
      </c>
      <c r="H26" s="5279" t="s">
        <v>28</v>
      </c>
      <c r="I26" s="5279" t="s">
        <v>898</v>
      </c>
    </row>
    <row customHeight="1" ht="11.25">
      <c r="A27" s="5279" t="s">
        <v>2344</v>
      </c>
      <c r="B27" s="5279" t="s">
        <v>16</v>
      </c>
      <c r="C27" s="5279" t="s">
        <v>2440</v>
      </c>
      <c r="D27" s="5279" t="s">
        <v>2441</v>
      </c>
      <c r="E27" s="5279" t="s">
        <v>2442</v>
      </c>
      <c r="F27" s="5279" t="s">
        <v>2443</v>
      </c>
      <c r="G27" s="5279" t="s">
        <v>28</v>
      </c>
      <c r="H27" s="5279" t="s">
        <v>28</v>
      </c>
      <c r="I27" s="5279" t="s">
        <v>898</v>
      </c>
    </row>
    <row customHeight="1" ht="11.25">
      <c r="A28" s="5279" t="s">
        <v>2344</v>
      </c>
      <c r="B28" s="5279" t="s">
        <v>16</v>
      </c>
      <c r="C28" s="5279" t="s">
        <v>2444</v>
      </c>
      <c r="D28" s="5279" t="s">
        <v>2445</v>
      </c>
      <c r="E28" s="5279" t="s">
        <v>2442</v>
      </c>
      <c r="F28" s="5279" t="s">
        <v>2446</v>
      </c>
      <c r="G28" s="5279" t="s">
        <v>28</v>
      </c>
      <c r="H28" s="5279" t="s">
        <v>28</v>
      </c>
      <c r="I28" s="5279" t="s">
        <v>898</v>
      </c>
    </row>
    <row customHeight="1" ht="11.25">
      <c r="A29" s="5279" t="s">
        <v>2344</v>
      </c>
      <c r="B29" s="5279" t="s">
        <v>16</v>
      </c>
      <c r="C29" s="5279" t="s">
        <v>2447</v>
      </c>
      <c r="D29" s="5279" t="s">
        <v>2448</v>
      </c>
      <c r="E29" s="5279" t="s">
        <v>2449</v>
      </c>
      <c r="F29" s="5279" t="s">
        <v>2450</v>
      </c>
      <c r="G29" s="5279" t="s">
        <v>28</v>
      </c>
      <c r="H29" s="5279" t="s">
        <v>28</v>
      </c>
      <c r="I29" s="5279" t="s">
        <v>898</v>
      </c>
    </row>
    <row customHeight="1" ht="11.25">
      <c r="A30" s="5279" t="s">
        <v>2344</v>
      </c>
      <c r="B30" s="5279" t="s">
        <v>16</v>
      </c>
      <c r="C30" s="5279" t="s">
        <v>2451</v>
      </c>
      <c r="D30" s="5279" t="s">
        <v>2452</v>
      </c>
      <c r="E30" s="5279" t="s">
        <v>2453</v>
      </c>
      <c r="F30" s="5279" t="s">
        <v>2413</v>
      </c>
      <c r="G30" s="5279" t="s">
        <v>2454</v>
      </c>
      <c r="H30" s="5279" t="s">
        <v>28</v>
      </c>
      <c r="I30" s="5279" t="s">
        <v>898</v>
      </c>
    </row>
    <row customHeight="1" ht="11.25">
      <c r="A31" s="5279" t="s">
        <v>2344</v>
      </c>
      <c r="B31" s="5279" t="s">
        <v>16</v>
      </c>
      <c r="C31" s="5279" t="s">
        <v>2455</v>
      </c>
      <c r="D31" s="5279" t="s">
        <v>2456</v>
      </c>
      <c r="E31" s="5279" t="s">
        <v>2457</v>
      </c>
      <c r="F31" s="5279" t="s">
        <v>2396</v>
      </c>
      <c r="G31" s="5279" t="s">
        <v>28</v>
      </c>
      <c r="H31" s="5279" t="s">
        <v>28</v>
      </c>
      <c r="I31" s="5279" t="s">
        <v>898</v>
      </c>
    </row>
    <row customHeight="1" ht="11.25">
      <c r="A32" s="5279" t="s">
        <v>2344</v>
      </c>
      <c r="B32" s="5279" t="s">
        <v>16</v>
      </c>
      <c r="C32" s="5279" t="s">
        <v>2458</v>
      </c>
      <c r="D32" s="5279" t="s">
        <v>2459</v>
      </c>
      <c r="E32" s="5279" t="s">
        <v>2460</v>
      </c>
      <c r="F32" s="5279" t="s">
        <v>2384</v>
      </c>
      <c r="G32" s="5279" t="s">
        <v>28</v>
      </c>
      <c r="H32" s="5279" t="s">
        <v>28</v>
      </c>
      <c r="I32" s="5279" t="s">
        <v>898</v>
      </c>
    </row>
    <row customHeight="1" ht="11.25">
      <c r="A33" s="5279" t="s">
        <v>2344</v>
      </c>
      <c r="B33" s="5279" t="s">
        <v>16</v>
      </c>
      <c r="C33" s="5279" t="s">
        <v>2461</v>
      </c>
      <c r="D33" s="5279" t="s">
        <v>2462</v>
      </c>
      <c r="E33" s="5279" t="s">
        <v>2463</v>
      </c>
      <c r="F33" s="5279" t="s">
        <v>666</v>
      </c>
      <c r="G33" s="5279" t="s">
        <v>2464</v>
      </c>
      <c r="H33" s="5279" t="s">
        <v>28</v>
      </c>
      <c r="I33" s="5279" t="s">
        <v>898</v>
      </c>
    </row>
    <row customHeight="1" ht="11.25">
      <c r="A34" s="5279" t="s">
        <v>2344</v>
      </c>
      <c r="B34" s="5279" t="s">
        <v>16</v>
      </c>
      <c r="C34" s="5279" t="s">
        <v>2465</v>
      </c>
      <c r="D34" s="5279" t="s">
        <v>2466</v>
      </c>
      <c r="E34" s="5279" t="s">
        <v>2467</v>
      </c>
      <c r="F34" s="5279" t="s">
        <v>2384</v>
      </c>
      <c r="G34" s="5279" t="s">
        <v>28</v>
      </c>
      <c r="H34" s="5279" t="s">
        <v>28</v>
      </c>
      <c r="I34" s="5279" t="s">
        <v>898</v>
      </c>
    </row>
    <row customHeight="1" ht="11.25">
      <c r="A35" s="5279" t="s">
        <v>2344</v>
      </c>
      <c r="B35" s="5279" t="s">
        <v>16</v>
      </c>
      <c r="C35" s="5279" t="s">
        <v>2468</v>
      </c>
      <c r="D35" s="5279" t="s">
        <v>2469</v>
      </c>
      <c r="E35" s="5279" t="s">
        <v>2470</v>
      </c>
      <c r="F35" s="5279" t="s">
        <v>2471</v>
      </c>
      <c r="G35" s="5279" t="s">
        <v>2472</v>
      </c>
      <c r="H35" s="5279" t="s">
        <v>28</v>
      </c>
      <c r="I35" s="5279" t="s">
        <v>898</v>
      </c>
    </row>
    <row customHeight="1" ht="11.25">
      <c r="A36" s="5279" t="s">
        <v>2344</v>
      </c>
      <c r="B36" s="5279" t="s">
        <v>16</v>
      </c>
      <c r="C36" s="5279" t="s">
        <v>2473</v>
      </c>
      <c r="D36" s="5279" t="s">
        <v>2474</v>
      </c>
      <c r="E36" s="5279" t="s">
        <v>2475</v>
      </c>
      <c r="F36" s="5279" t="s">
        <v>2450</v>
      </c>
      <c r="G36" s="5279" t="s">
        <v>28</v>
      </c>
      <c r="H36" s="5279" t="s">
        <v>28</v>
      </c>
      <c r="I36" s="5279" t="s">
        <v>898</v>
      </c>
    </row>
    <row customHeight="1" ht="11.25">
      <c r="A37" s="5279" t="s">
        <v>2344</v>
      </c>
      <c r="B37" s="5279" t="s">
        <v>16</v>
      </c>
      <c r="C37" s="5279" t="s">
        <v>2476</v>
      </c>
      <c r="D37" s="5279" t="s">
        <v>2477</v>
      </c>
      <c r="E37" s="5279" t="s">
        <v>2478</v>
      </c>
      <c r="F37" s="5279" t="s">
        <v>2479</v>
      </c>
      <c r="G37" s="5279" t="s">
        <v>28</v>
      </c>
      <c r="H37" s="5279" t="s">
        <v>28</v>
      </c>
      <c r="I37" s="5279" t="s">
        <v>898</v>
      </c>
    </row>
    <row customHeight="1" ht="11.25">
      <c r="A38" s="5279" t="s">
        <v>2344</v>
      </c>
      <c r="B38" s="5279" t="s">
        <v>16</v>
      </c>
      <c r="C38" s="5279" t="s">
        <v>2480</v>
      </c>
      <c r="D38" s="5279" t="s">
        <v>2481</v>
      </c>
      <c r="E38" s="5279" t="s">
        <v>2482</v>
      </c>
      <c r="F38" s="5279" t="s">
        <v>2450</v>
      </c>
      <c r="G38" s="5279" t="s">
        <v>28</v>
      </c>
      <c r="H38" s="5279" t="s">
        <v>28</v>
      </c>
      <c r="I38" s="5279" t="s">
        <v>898</v>
      </c>
    </row>
    <row customHeight="1" ht="11.25">
      <c r="A39" s="5279" t="s">
        <v>2344</v>
      </c>
      <c r="B39" s="5279" t="s">
        <v>16</v>
      </c>
      <c r="C39" s="5279" t="s">
        <v>2483</v>
      </c>
      <c r="D39" s="5279" t="s">
        <v>2484</v>
      </c>
      <c r="E39" s="5279" t="s">
        <v>2485</v>
      </c>
      <c r="F39" s="5279" t="s">
        <v>2384</v>
      </c>
      <c r="G39" s="5279" t="s">
        <v>28</v>
      </c>
      <c r="H39" s="5279" t="s">
        <v>28</v>
      </c>
      <c r="I39" s="5279" t="s">
        <v>898</v>
      </c>
    </row>
    <row customHeight="1" ht="11.25">
      <c r="A40" s="5279" t="s">
        <v>2344</v>
      </c>
      <c r="B40" s="5279" t="s">
        <v>16</v>
      </c>
      <c r="C40" s="5279" t="s">
        <v>2486</v>
      </c>
      <c r="D40" s="5279" t="s">
        <v>2487</v>
      </c>
      <c r="E40" s="5279" t="s">
        <v>2488</v>
      </c>
      <c r="F40" s="5279" t="s">
        <v>2489</v>
      </c>
      <c r="G40" s="5279" t="s">
        <v>28</v>
      </c>
      <c r="H40" s="5279" t="s">
        <v>28</v>
      </c>
      <c r="I40" s="5279" t="s">
        <v>898</v>
      </c>
    </row>
    <row customHeight="1" ht="11.25">
      <c r="A41" s="5279" t="s">
        <v>2344</v>
      </c>
      <c r="B41" s="5279" t="s">
        <v>16</v>
      </c>
      <c r="C41" s="5279" t="s">
        <v>2490</v>
      </c>
      <c r="D41" s="5279" t="s">
        <v>47</v>
      </c>
      <c r="E41" s="5279" t="s">
        <v>50</v>
      </c>
      <c r="F41" s="5279" t="s">
        <v>2489</v>
      </c>
      <c r="G41" s="5279" t="s">
        <v>28</v>
      </c>
      <c r="H41" s="5279" t="s">
        <v>28</v>
      </c>
      <c r="I41" s="5279" t="s">
        <v>898</v>
      </c>
    </row>
    <row customHeight="1" ht="11.25">
      <c r="A42" s="5279" t="s">
        <v>2344</v>
      </c>
      <c r="B42" s="5279" t="s">
        <v>16</v>
      </c>
      <c r="C42" s="5279" t="s">
        <v>2491</v>
      </c>
      <c r="D42" s="5279" t="s">
        <v>2492</v>
      </c>
      <c r="E42" s="5279" t="s">
        <v>2493</v>
      </c>
      <c r="F42" s="5279" t="s">
        <v>2355</v>
      </c>
      <c r="G42" s="5279" t="s">
        <v>2494</v>
      </c>
      <c r="H42" s="5279" t="s">
        <v>28</v>
      </c>
      <c r="I42" s="5279" t="s">
        <v>898</v>
      </c>
    </row>
    <row customHeight="1" ht="11.25">
      <c r="A43" s="5279" t="s">
        <v>2344</v>
      </c>
      <c r="B43" s="5279" t="s">
        <v>16</v>
      </c>
      <c r="C43" s="5279" t="s">
        <v>2495</v>
      </c>
      <c r="D43" s="5279" t="s">
        <v>2496</v>
      </c>
      <c r="E43" s="5279" t="s">
        <v>2497</v>
      </c>
      <c r="F43" s="5279" t="s">
        <v>2498</v>
      </c>
      <c r="G43" s="5279" t="s">
        <v>28</v>
      </c>
      <c r="H43" s="5279" t="s">
        <v>28</v>
      </c>
      <c r="I43" s="5279" t="s">
        <v>898</v>
      </c>
    </row>
    <row customHeight="1" ht="11.25">
      <c r="A44" s="5279" t="s">
        <v>2344</v>
      </c>
      <c r="B44" s="5279" t="s">
        <v>16</v>
      </c>
      <c r="C44" s="5279" t="s">
        <v>2499</v>
      </c>
      <c r="D44" s="5279" t="s">
        <v>2500</v>
      </c>
      <c r="E44" s="5279" t="s">
        <v>2501</v>
      </c>
      <c r="F44" s="5279" t="s">
        <v>2376</v>
      </c>
      <c r="G44" s="5279" t="s">
        <v>28</v>
      </c>
      <c r="H44" s="5279" t="s">
        <v>28</v>
      </c>
      <c r="I44" s="5279" t="s">
        <v>898</v>
      </c>
    </row>
    <row customHeight="1" ht="11.25">
      <c r="A45" s="5279" t="s">
        <v>2344</v>
      </c>
      <c r="B45" s="5279" t="s">
        <v>16</v>
      </c>
      <c r="C45" s="5279" t="s">
        <v>2502</v>
      </c>
      <c r="D45" s="5279" t="s">
        <v>2503</v>
      </c>
      <c r="E45" s="5279" t="s">
        <v>2504</v>
      </c>
      <c r="F45" s="5279" t="s">
        <v>2505</v>
      </c>
      <c r="G45" s="5279" t="s">
        <v>28</v>
      </c>
      <c r="H45" s="5279" t="s">
        <v>28</v>
      </c>
      <c r="I45" s="5279" t="s">
        <v>898</v>
      </c>
    </row>
    <row customHeight="1" ht="11.25">
      <c r="A46" s="5279" t="s">
        <v>2344</v>
      </c>
      <c r="B46" s="5279" t="s">
        <v>16</v>
      </c>
      <c r="C46" s="5279" t="s">
        <v>2506</v>
      </c>
      <c r="D46" s="5279" t="s">
        <v>2507</v>
      </c>
      <c r="E46" s="5279" t="s">
        <v>2508</v>
      </c>
      <c r="F46" s="5279" t="s">
        <v>2509</v>
      </c>
      <c r="G46" s="5279" t="s">
        <v>28</v>
      </c>
      <c r="H46" s="5279" t="s">
        <v>28</v>
      </c>
      <c r="I46" s="5279" t="s">
        <v>898</v>
      </c>
    </row>
    <row customHeight="1" ht="11.25">
      <c r="A47" s="5279" t="s">
        <v>2344</v>
      </c>
      <c r="B47" s="5279" t="s">
        <v>16</v>
      </c>
      <c r="C47" s="5279" t="s">
        <v>2510</v>
      </c>
      <c r="D47" s="5279" t="s">
        <v>2511</v>
      </c>
      <c r="E47" s="5279" t="s">
        <v>2512</v>
      </c>
      <c r="F47" s="5279" t="s">
        <v>2509</v>
      </c>
      <c r="G47" s="5279" t="s">
        <v>28</v>
      </c>
      <c r="H47" s="5279" t="s">
        <v>28</v>
      </c>
      <c r="I47" s="5279" t="s">
        <v>898</v>
      </c>
    </row>
    <row customHeight="1" ht="11.25">
      <c r="A48" s="5279" t="s">
        <v>2344</v>
      </c>
      <c r="B48" s="5279" t="s">
        <v>16</v>
      </c>
      <c r="C48" s="5279" t="s">
        <v>2513</v>
      </c>
      <c r="D48" s="5279" t="s">
        <v>2514</v>
      </c>
      <c r="E48" s="5279" t="s">
        <v>2515</v>
      </c>
      <c r="F48" s="5279" t="s">
        <v>2516</v>
      </c>
      <c r="G48" s="5279" t="s">
        <v>28</v>
      </c>
      <c r="H48" s="5279" t="s">
        <v>28</v>
      </c>
      <c r="I48" s="5279" t="s">
        <v>898</v>
      </c>
    </row>
    <row customHeight="1" ht="11.25">
      <c r="A49" s="5279" t="s">
        <v>2344</v>
      </c>
      <c r="B49" s="5279" t="s">
        <v>16</v>
      </c>
      <c r="C49" s="5279" t="s">
        <v>2517</v>
      </c>
      <c r="D49" s="5279" t="s">
        <v>2518</v>
      </c>
      <c r="E49" s="5279" t="s">
        <v>2519</v>
      </c>
      <c r="F49" s="5279" t="s">
        <v>2384</v>
      </c>
      <c r="G49" s="5279" t="s">
        <v>28</v>
      </c>
      <c r="H49" s="5279" t="s">
        <v>28</v>
      </c>
      <c r="I49" s="5279" t="s">
        <v>898</v>
      </c>
    </row>
    <row customHeight="1" ht="11.25">
      <c r="A50" s="5279" t="s">
        <v>2344</v>
      </c>
      <c r="B50" s="5279" t="s">
        <v>16</v>
      </c>
      <c r="C50" s="5279" t="s">
        <v>2520</v>
      </c>
      <c r="D50" s="5279" t="s">
        <v>2521</v>
      </c>
      <c r="E50" s="5279" t="s">
        <v>2522</v>
      </c>
      <c r="F50" s="5279" t="s">
        <v>2505</v>
      </c>
      <c r="G50" s="5279" t="s">
        <v>28</v>
      </c>
      <c r="H50" s="5279" t="s">
        <v>28</v>
      </c>
      <c r="I50" s="5279" t="s">
        <v>898</v>
      </c>
    </row>
    <row customHeight="1" ht="11.25">
      <c r="A51" s="5279" t="s">
        <v>2344</v>
      </c>
      <c r="B51" s="5279" t="s">
        <v>16</v>
      </c>
      <c r="C51" s="5279" t="s">
        <v>2523</v>
      </c>
      <c r="D51" s="5279" t="s">
        <v>2524</v>
      </c>
      <c r="E51" s="5279" t="s">
        <v>2525</v>
      </c>
      <c r="F51" s="5279" t="s">
        <v>2526</v>
      </c>
      <c r="G51" s="5279" t="s">
        <v>28</v>
      </c>
      <c r="H51" s="5279" t="s">
        <v>28</v>
      </c>
      <c r="I51" s="5279" t="s">
        <v>898</v>
      </c>
    </row>
    <row customHeight="1" ht="11.25">
      <c r="A52" s="5279" t="s">
        <v>2344</v>
      </c>
      <c r="B52" s="5279" t="s">
        <v>16</v>
      </c>
      <c r="C52" s="5279" t="s">
        <v>2527</v>
      </c>
      <c r="D52" s="5279" t="s">
        <v>2528</v>
      </c>
      <c r="E52" s="5279" t="s">
        <v>2529</v>
      </c>
      <c r="F52" s="5279" t="s">
        <v>2489</v>
      </c>
      <c r="G52" s="5279" t="s">
        <v>28</v>
      </c>
      <c r="H52" s="5279" t="s">
        <v>28</v>
      </c>
      <c r="I52" s="5279" t="s">
        <v>898</v>
      </c>
    </row>
    <row customHeight="1" ht="11.25">
      <c r="A53" s="5279" t="s">
        <v>2344</v>
      </c>
      <c r="B53" s="5279" t="s">
        <v>16</v>
      </c>
      <c r="C53" s="5279" t="s">
        <v>2530</v>
      </c>
      <c r="D53" s="5279" t="s">
        <v>2531</v>
      </c>
      <c r="E53" s="5279" t="s">
        <v>2532</v>
      </c>
      <c r="F53" s="5279" t="s">
        <v>2533</v>
      </c>
      <c r="G53" s="5279" t="s">
        <v>28</v>
      </c>
      <c r="H53" s="5279" t="s">
        <v>28</v>
      </c>
      <c r="I53" s="5279" t="s">
        <v>898</v>
      </c>
    </row>
    <row customHeight="1" ht="11.25">
      <c r="A54" s="5279" t="s">
        <v>2344</v>
      </c>
      <c r="B54" s="5279" t="s">
        <v>16</v>
      </c>
      <c r="C54" s="5279" t="s">
        <v>2534</v>
      </c>
      <c r="D54" s="5279" t="s">
        <v>2535</v>
      </c>
      <c r="E54" s="5279" t="s">
        <v>2536</v>
      </c>
      <c r="F54" s="5279" t="s">
        <v>2396</v>
      </c>
      <c r="G54" s="5279" t="s">
        <v>28</v>
      </c>
      <c r="H54" s="5279" t="s">
        <v>28</v>
      </c>
      <c r="I54" s="5279" t="s">
        <v>898</v>
      </c>
    </row>
    <row customHeight="1" ht="11.25">
      <c r="A55" s="5279" t="s">
        <v>2344</v>
      </c>
      <c r="B55" s="5279" t="s">
        <v>16</v>
      </c>
      <c r="C55" s="5279" t="s">
        <v>2537</v>
      </c>
      <c r="D55" s="5279" t="s">
        <v>2538</v>
      </c>
      <c r="E55" s="5279" t="s">
        <v>2539</v>
      </c>
      <c r="F55" s="5279" t="s">
        <v>2540</v>
      </c>
      <c r="G55" s="5279" t="s">
        <v>28</v>
      </c>
      <c r="H55" s="5279" t="s">
        <v>28</v>
      </c>
      <c r="I55" s="5279" t="s">
        <v>898</v>
      </c>
    </row>
    <row customHeight="1" ht="11.25">
      <c r="A56" s="5279" t="s">
        <v>2344</v>
      </c>
      <c r="B56" s="5279" t="s">
        <v>16</v>
      </c>
      <c r="C56" s="5279" t="s">
        <v>2541</v>
      </c>
      <c r="D56" s="5279" t="s">
        <v>2542</v>
      </c>
      <c r="E56" s="5279" t="s">
        <v>2362</v>
      </c>
      <c r="F56" s="5279" t="s">
        <v>2543</v>
      </c>
      <c r="G56" s="5279" t="s">
        <v>28</v>
      </c>
      <c r="H56" s="5279" t="s">
        <v>28</v>
      </c>
      <c r="I56" s="5279" t="s">
        <v>898</v>
      </c>
    </row>
    <row customHeight="1" ht="11.25">
      <c r="A57" s="5279" t="s">
        <v>2344</v>
      </c>
      <c r="B57" s="5279" t="s">
        <v>16</v>
      </c>
      <c r="C57" s="5279" t="s">
        <v>2544</v>
      </c>
      <c r="D57" s="5279" t="s">
        <v>2545</v>
      </c>
      <c r="E57" s="5279" t="s">
        <v>2546</v>
      </c>
      <c r="F57" s="5279" t="s">
        <v>2547</v>
      </c>
      <c r="G57" s="5279" t="s">
        <v>28</v>
      </c>
      <c r="H57" s="5279" t="s">
        <v>28</v>
      </c>
      <c r="I57" s="5279" t="s">
        <v>898</v>
      </c>
    </row>
    <row customHeight="1" ht="11.25">
      <c r="A58" s="5279" t="s">
        <v>2344</v>
      </c>
      <c r="B58" s="5279" t="s">
        <v>16</v>
      </c>
      <c r="C58" s="5279" t="s">
        <v>2548</v>
      </c>
      <c r="D58" s="5279" t="s">
        <v>2549</v>
      </c>
      <c r="E58" s="5279" t="s">
        <v>2550</v>
      </c>
      <c r="F58" s="5279" t="s">
        <v>2547</v>
      </c>
      <c r="G58" s="5279" t="s">
        <v>28</v>
      </c>
      <c r="H58" s="5279" t="s">
        <v>28</v>
      </c>
      <c r="I58" s="5279" t="s">
        <v>898</v>
      </c>
    </row>
    <row customHeight="1" ht="11.25">
      <c r="A59" s="5279" t="s">
        <v>2344</v>
      </c>
      <c r="B59" s="5279" t="s">
        <v>16</v>
      </c>
      <c r="C59" s="5279" t="s">
        <v>2551</v>
      </c>
      <c r="D59" s="5279" t="s">
        <v>2552</v>
      </c>
      <c r="E59" s="5279" t="s">
        <v>2553</v>
      </c>
      <c r="F59" s="5279" t="s">
        <v>2509</v>
      </c>
      <c r="G59" s="5279" t="s">
        <v>28</v>
      </c>
      <c r="H59" s="5279" t="s">
        <v>28</v>
      </c>
      <c r="I59" s="5279" t="s">
        <v>898</v>
      </c>
    </row>
    <row customHeight="1" ht="11.25">
      <c r="A60" s="5279" t="s">
        <v>2344</v>
      </c>
      <c r="B60" s="5279" t="s">
        <v>16</v>
      </c>
      <c r="C60" s="5279" t="s">
        <v>2554</v>
      </c>
      <c r="D60" s="5279" t="s">
        <v>2555</v>
      </c>
      <c r="E60" s="5279" t="s">
        <v>2556</v>
      </c>
      <c r="F60" s="5279" t="s">
        <v>2384</v>
      </c>
      <c r="G60" s="5279" t="s">
        <v>28</v>
      </c>
      <c r="H60" s="5279" t="s">
        <v>28</v>
      </c>
      <c r="I60" s="5279" t="s">
        <v>898</v>
      </c>
    </row>
    <row customHeight="1" ht="11.25">
      <c r="A61" s="5279" t="s">
        <v>2344</v>
      </c>
      <c r="B61" s="5279" t="s">
        <v>16</v>
      </c>
      <c r="C61" s="5279" t="s">
        <v>2557</v>
      </c>
      <c r="D61" s="5279" t="s">
        <v>2558</v>
      </c>
      <c r="E61" s="5279" t="s">
        <v>2442</v>
      </c>
      <c r="F61" s="5279" t="s">
        <v>2559</v>
      </c>
      <c r="G61" s="5279" t="s">
        <v>28</v>
      </c>
      <c r="H61" s="5279" t="s">
        <v>28</v>
      </c>
      <c r="I61" s="5279" t="s">
        <v>898</v>
      </c>
    </row>
    <row customHeight="1" ht="11.25">
      <c r="A62" s="5279" t="s">
        <v>2344</v>
      </c>
      <c r="B62" s="5279" t="s">
        <v>16</v>
      </c>
      <c r="C62" s="5279" t="s">
        <v>2560</v>
      </c>
      <c r="D62" s="5279" t="s">
        <v>2561</v>
      </c>
      <c r="E62" s="5279" t="s">
        <v>2562</v>
      </c>
      <c r="F62" s="5279" t="s">
        <v>2509</v>
      </c>
      <c r="G62" s="5279" t="s">
        <v>28</v>
      </c>
      <c r="H62" s="5279" t="s">
        <v>28</v>
      </c>
      <c r="I62" s="5279" t="s">
        <v>898</v>
      </c>
    </row>
    <row customHeight="1" ht="11.25">
      <c r="A63" s="5279" t="s">
        <v>2344</v>
      </c>
      <c r="B63" s="5279" t="s">
        <v>16</v>
      </c>
      <c r="C63" s="5279" t="s">
        <v>2563</v>
      </c>
      <c r="D63" s="5279" t="s">
        <v>2564</v>
      </c>
      <c r="E63" s="5279" t="s">
        <v>2565</v>
      </c>
      <c r="F63" s="5279" t="s">
        <v>2365</v>
      </c>
      <c r="G63" s="5279" t="s">
        <v>28</v>
      </c>
      <c r="H63" s="5279" t="s">
        <v>28</v>
      </c>
      <c r="I63" s="5279" t="s">
        <v>898</v>
      </c>
    </row>
    <row customHeight="1" ht="11.25">
      <c r="A64" s="5279" t="s">
        <v>2344</v>
      </c>
      <c r="B64" s="5279" t="s">
        <v>16</v>
      </c>
      <c r="C64" s="5279" t="s">
        <v>2566</v>
      </c>
      <c r="D64" s="5279" t="s">
        <v>2567</v>
      </c>
      <c r="E64" s="5279" t="s">
        <v>2568</v>
      </c>
      <c r="F64" s="5279" t="s">
        <v>2396</v>
      </c>
      <c r="G64" s="5279" t="s">
        <v>28</v>
      </c>
      <c r="H64" s="5279" t="s">
        <v>28</v>
      </c>
      <c r="I64" s="5279" t="s">
        <v>898</v>
      </c>
    </row>
    <row customHeight="1" ht="11.25">
      <c r="A65" s="5279" t="s">
        <v>2344</v>
      </c>
      <c r="B65" s="5279" t="s">
        <v>16</v>
      </c>
      <c r="C65" s="5279" t="s">
        <v>2569</v>
      </c>
      <c r="D65" s="5279" t="s">
        <v>2570</v>
      </c>
      <c r="E65" s="5279" t="s">
        <v>2571</v>
      </c>
      <c r="F65" s="5279" t="s">
        <v>2351</v>
      </c>
      <c r="G65" s="5279" t="s">
        <v>28</v>
      </c>
      <c r="H65" s="5279" t="s">
        <v>28</v>
      </c>
      <c r="I65" s="5279" t="s">
        <v>898</v>
      </c>
    </row>
    <row customHeight="1" ht="11.25">
      <c r="A66" s="5279" t="s">
        <v>2344</v>
      </c>
      <c r="B66" s="5279" t="s">
        <v>16</v>
      </c>
      <c r="C66" s="5279" t="s">
        <v>2572</v>
      </c>
      <c r="D66" s="5279" t="s">
        <v>2573</v>
      </c>
      <c r="E66" s="5279" t="s">
        <v>2574</v>
      </c>
      <c r="F66" s="5279" t="s">
        <v>2489</v>
      </c>
      <c r="G66" s="5279" t="s">
        <v>28</v>
      </c>
      <c r="H66" s="5279" t="s">
        <v>28</v>
      </c>
      <c r="I66" s="5279" t="s">
        <v>898</v>
      </c>
    </row>
    <row customHeight="1" ht="11.25">
      <c r="A67" s="5279" t="s">
        <v>2344</v>
      </c>
      <c r="B67" s="5279" t="s">
        <v>16</v>
      </c>
      <c r="C67" s="5279" t="s">
        <v>2575</v>
      </c>
      <c r="D67" s="5279" t="s">
        <v>2576</v>
      </c>
      <c r="E67" s="5279" t="s">
        <v>2577</v>
      </c>
      <c r="F67" s="5279" t="s">
        <v>2578</v>
      </c>
      <c r="G67" s="5279" t="s">
        <v>2579</v>
      </c>
      <c r="H67" s="5279" t="s">
        <v>28</v>
      </c>
      <c r="I67" s="5279" t="s">
        <v>898</v>
      </c>
    </row>
    <row customHeight="1" ht="11.25">
      <c r="A68" s="5279" t="s">
        <v>2344</v>
      </c>
      <c r="B68" s="5279" t="s">
        <v>16</v>
      </c>
      <c r="C68" s="5279" t="s">
        <v>2580</v>
      </c>
      <c r="D68" s="5279" t="s">
        <v>2581</v>
      </c>
      <c r="E68" s="5279" t="s">
        <v>2582</v>
      </c>
      <c r="F68" s="5279" t="s">
        <v>2351</v>
      </c>
      <c r="G68" s="5279" t="s">
        <v>2583</v>
      </c>
      <c r="H68" s="5279" t="s">
        <v>28</v>
      </c>
      <c r="I68" s="5279" t="s">
        <v>898</v>
      </c>
    </row>
    <row customHeight="1" ht="11.25">
      <c r="A69" s="5279" t="s">
        <v>2344</v>
      </c>
      <c r="B69" s="5279" t="s">
        <v>16</v>
      </c>
      <c r="C69" s="5279" t="s">
        <v>2584</v>
      </c>
      <c r="D69" s="5279" t="s">
        <v>2585</v>
      </c>
      <c r="E69" s="5279" t="s">
        <v>2586</v>
      </c>
      <c r="F69" s="5279" t="s">
        <v>2351</v>
      </c>
      <c r="G69" s="5279" t="s">
        <v>2587</v>
      </c>
      <c r="H69" s="5279" t="s">
        <v>28</v>
      </c>
      <c r="I69" s="5279" t="s">
        <v>898</v>
      </c>
    </row>
    <row customHeight="1" ht="11.25">
      <c r="A70" s="5279" t="s">
        <v>2344</v>
      </c>
      <c r="B70" s="5279" t="s">
        <v>16</v>
      </c>
      <c r="C70" s="5279" t="s">
        <v>2588</v>
      </c>
      <c r="D70" s="5279" t="s">
        <v>2589</v>
      </c>
      <c r="E70" s="5279" t="s">
        <v>2590</v>
      </c>
      <c r="F70" s="5279" t="s">
        <v>2591</v>
      </c>
      <c r="G70" s="5279" t="s">
        <v>28</v>
      </c>
      <c r="H70" s="5279" t="s">
        <v>28</v>
      </c>
      <c r="I70" s="5279" t="s">
        <v>898</v>
      </c>
    </row>
    <row customHeight="1" ht="11.25">
      <c r="A71" s="5279" t="s">
        <v>2344</v>
      </c>
      <c r="B71" s="5279" t="s">
        <v>16</v>
      </c>
      <c r="C71" s="5279" t="s">
        <v>2592</v>
      </c>
      <c r="D71" s="5279" t="s">
        <v>2593</v>
      </c>
      <c r="E71" s="5279" t="s">
        <v>2594</v>
      </c>
      <c r="F71" s="5279" t="s">
        <v>2578</v>
      </c>
      <c r="G71" s="5279" t="s">
        <v>28</v>
      </c>
      <c r="H71" s="5279" t="s">
        <v>28</v>
      </c>
      <c r="I71" s="5279" t="s">
        <v>898</v>
      </c>
    </row>
    <row customHeight="1" ht="11.25">
      <c r="A72" s="5279" t="s">
        <v>2344</v>
      </c>
      <c r="B72" s="5279" t="s">
        <v>16</v>
      </c>
      <c r="C72" s="5279" t="s">
        <v>2595</v>
      </c>
      <c r="D72" s="5279" t="s">
        <v>2596</v>
      </c>
      <c r="E72" s="5279" t="s">
        <v>2597</v>
      </c>
      <c r="F72" s="5279" t="s">
        <v>2396</v>
      </c>
      <c r="G72" s="5279" t="s">
        <v>28</v>
      </c>
      <c r="H72" s="5279" t="s">
        <v>28</v>
      </c>
      <c r="I72" s="5279" t="s">
        <v>898</v>
      </c>
    </row>
    <row customHeight="1" ht="11.25">
      <c r="A73" s="5279" t="s">
        <v>2344</v>
      </c>
      <c r="B73" s="5279" t="s">
        <v>16</v>
      </c>
      <c r="C73" s="5279" t="s">
        <v>2598</v>
      </c>
      <c r="D73" s="5279" t="s">
        <v>2599</v>
      </c>
      <c r="E73" s="5279" t="s">
        <v>2600</v>
      </c>
      <c r="F73" s="5279" t="s">
        <v>2578</v>
      </c>
      <c r="G73" s="5279" t="s">
        <v>28</v>
      </c>
      <c r="H73" s="5279" t="s">
        <v>28</v>
      </c>
      <c r="I73" s="5279" t="s">
        <v>898</v>
      </c>
    </row>
    <row customHeight="1" ht="11.25">
      <c r="A74" s="5279" t="s">
        <v>2344</v>
      </c>
      <c r="B74" s="5279" t="s">
        <v>16</v>
      </c>
      <c r="C74" s="5279" t="s">
        <v>2601</v>
      </c>
      <c r="D74" s="5279" t="s">
        <v>2602</v>
      </c>
      <c r="E74" s="5279" t="s">
        <v>2603</v>
      </c>
      <c r="F74" s="5279" t="s">
        <v>2479</v>
      </c>
      <c r="G74" s="5279" t="s">
        <v>2604</v>
      </c>
      <c r="H74" s="5279" t="s">
        <v>28</v>
      </c>
      <c r="I74" s="5279" t="s">
        <v>898</v>
      </c>
    </row>
    <row customHeight="1" ht="11.25">
      <c r="A75" s="5279" t="s">
        <v>2344</v>
      </c>
      <c r="B75" s="5279" t="s">
        <v>16</v>
      </c>
      <c r="C75" s="5279" t="s">
        <v>2605</v>
      </c>
      <c r="D75" s="5279" t="s">
        <v>2606</v>
      </c>
      <c r="E75" s="5279" t="s">
        <v>2607</v>
      </c>
      <c r="F75" s="5279" t="s">
        <v>2608</v>
      </c>
      <c r="G75" s="5279" t="s">
        <v>2609</v>
      </c>
      <c r="H75" s="5279" t="s">
        <v>28</v>
      </c>
      <c r="I75" s="5279" t="s">
        <v>898</v>
      </c>
    </row>
    <row customHeight="1" ht="11.25">
      <c r="A76" s="5279" t="s">
        <v>2344</v>
      </c>
      <c r="B76" s="5279" t="s">
        <v>16</v>
      </c>
      <c r="C76" s="5279" t="s">
        <v>2610</v>
      </c>
      <c r="D76" s="5279" t="s">
        <v>2611</v>
      </c>
      <c r="E76" s="5279" t="s">
        <v>2612</v>
      </c>
      <c r="F76" s="5279" t="s">
        <v>2578</v>
      </c>
      <c r="G76" s="5279" t="s">
        <v>28</v>
      </c>
      <c r="H76" s="5279" t="s">
        <v>28</v>
      </c>
      <c r="I76" s="5279" t="s">
        <v>898</v>
      </c>
    </row>
    <row customHeight="1" ht="11.25">
      <c r="A77" s="5279" t="s">
        <v>2344</v>
      </c>
      <c r="B77" s="5279" t="s">
        <v>16</v>
      </c>
      <c r="C77" s="5279" t="s">
        <v>2613</v>
      </c>
      <c r="D77" s="5279" t="s">
        <v>2614</v>
      </c>
      <c r="E77" s="5279" t="s">
        <v>2615</v>
      </c>
      <c r="F77" s="5279" t="s">
        <v>2578</v>
      </c>
      <c r="G77" s="5279" t="s">
        <v>28</v>
      </c>
      <c r="H77" s="5279" t="s">
        <v>28</v>
      </c>
      <c r="I77" s="5279" t="s">
        <v>898</v>
      </c>
    </row>
    <row customHeight="1" ht="11.25">
      <c r="A78" s="5279" t="s">
        <v>2344</v>
      </c>
      <c r="B78" s="5279" t="s">
        <v>16</v>
      </c>
      <c r="C78" s="5279" t="s">
        <v>2616</v>
      </c>
      <c r="D78" s="5279" t="s">
        <v>2617</v>
      </c>
      <c r="E78" s="5279" t="s">
        <v>2618</v>
      </c>
      <c r="F78" s="5279" t="s">
        <v>2619</v>
      </c>
      <c r="G78" s="5279" t="s">
        <v>28</v>
      </c>
      <c r="H78" s="5279" t="s">
        <v>28</v>
      </c>
      <c r="I78" s="5279" t="s">
        <v>898</v>
      </c>
    </row>
    <row customHeight="1" ht="11.25">
      <c r="A79" s="5279" t="s">
        <v>2344</v>
      </c>
      <c r="B79" s="5279" t="s">
        <v>16</v>
      </c>
      <c r="C79" s="5279" t="s">
        <v>2620</v>
      </c>
      <c r="D79" s="5279" t="s">
        <v>2621</v>
      </c>
      <c r="E79" s="5279" t="s">
        <v>2622</v>
      </c>
      <c r="F79" s="5279" t="s">
        <v>2347</v>
      </c>
      <c r="G79" s="5279" t="s">
        <v>28</v>
      </c>
      <c r="H79" s="5279" t="s">
        <v>28</v>
      </c>
      <c r="I79" s="5279" t="s">
        <v>898</v>
      </c>
    </row>
    <row customHeight="1" ht="11.25">
      <c r="A80" s="5279" t="s">
        <v>2344</v>
      </c>
      <c r="B80" s="5279" t="s">
        <v>16</v>
      </c>
      <c r="C80" s="5279" t="s">
        <v>2623</v>
      </c>
      <c r="D80" s="5279" t="s">
        <v>2624</v>
      </c>
      <c r="E80" s="5279" t="s">
        <v>2625</v>
      </c>
      <c r="F80" s="5279" t="s">
        <v>2384</v>
      </c>
      <c r="G80" s="5279" t="s">
        <v>28</v>
      </c>
      <c r="H80" s="5279" t="s">
        <v>28</v>
      </c>
      <c r="I80" s="5279" t="s">
        <v>898</v>
      </c>
    </row>
    <row customHeight="1" ht="11.25">
      <c r="A81" s="5279" t="s">
        <v>2344</v>
      </c>
      <c r="B81" s="5279" t="s">
        <v>16</v>
      </c>
      <c r="C81" s="5279" t="s">
        <v>2626</v>
      </c>
      <c r="D81" s="5279" t="s">
        <v>2627</v>
      </c>
      <c r="E81" s="5279" t="s">
        <v>2628</v>
      </c>
      <c r="F81" s="5279" t="s">
        <v>2351</v>
      </c>
      <c r="G81" s="5279" t="s">
        <v>28</v>
      </c>
      <c r="H81" s="5279" t="s">
        <v>28</v>
      </c>
      <c r="I81" s="5279" t="s">
        <v>898</v>
      </c>
    </row>
    <row customHeight="1" ht="11.25">
      <c r="A82" s="5279" t="s">
        <v>2344</v>
      </c>
      <c r="B82" s="5279" t="s">
        <v>16</v>
      </c>
      <c r="C82" s="5279" t="s">
        <v>2629</v>
      </c>
      <c r="D82" s="5279" t="s">
        <v>2630</v>
      </c>
      <c r="E82" s="5279" t="s">
        <v>2631</v>
      </c>
      <c r="F82" s="5279" t="s">
        <v>2632</v>
      </c>
      <c r="G82" s="5279" t="s">
        <v>2633</v>
      </c>
      <c r="H82" s="5279" t="s">
        <v>28</v>
      </c>
      <c r="I82" s="5279" t="s">
        <v>898</v>
      </c>
    </row>
    <row customHeight="1" ht="11.25">
      <c r="A83" s="5279" t="s">
        <v>2344</v>
      </c>
      <c r="B83" s="5279" t="s">
        <v>16</v>
      </c>
      <c r="C83" s="5279" t="s">
        <v>2634</v>
      </c>
      <c r="D83" s="5279" t="s">
        <v>2635</v>
      </c>
      <c r="E83" s="5279" t="s">
        <v>2636</v>
      </c>
      <c r="F83" s="5279" t="s">
        <v>2376</v>
      </c>
      <c r="G83" s="5279" t="s">
        <v>2637</v>
      </c>
      <c r="H83" s="5279" t="s">
        <v>28</v>
      </c>
      <c r="I83" s="5279" t="s">
        <v>898</v>
      </c>
    </row>
    <row customHeight="1" ht="11.25">
      <c r="A84" s="5279" t="s">
        <v>2344</v>
      </c>
      <c r="B84" s="5279" t="s">
        <v>16</v>
      </c>
      <c r="C84" s="5279" t="s">
        <v>2638</v>
      </c>
      <c r="D84" s="5279" t="s">
        <v>2639</v>
      </c>
      <c r="E84" s="5279" t="s">
        <v>2640</v>
      </c>
      <c r="F84" s="5279" t="s">
        <v>2619</v>
      </c>
      <c r="G84" s="5279" t="s">
        <v>28</v>
      </c>
      <c r="H84" s="5279" t="s">
        <v>28</v>
      </c>
      <c r="I84" s="5279" t="s">
        <v>898</v>
      </c>
    </row>
    <row customHeight="1" ht="11.25">
      <c r="A85" s="5279" t="s">
        <v>2344</v>
      </c>
      <c r="B85" s="5279" t="s">
        <v>16</v>
      </c>
      <c r="C85" s="5279" t="s">
        <v>2641</v>
      </c>
      <c r="D85" s="5279" t="s">
        <v>2642</v>
      </c>
      <c r="E85" s="5279" t="s">
        <v>2643</v>
      </c>
      <c r="F85" s="5279" t="s">
        <v>2547</v>
      </c>
      <c r="G85" s="5279" t="s">
        <v>2644</v>
      </c>
      <c r="H85" s="5279" t="s">
        <v>28</v>
      </c>
      <c r="I85" s="5279" t="s">
        <v>898</v>
      </c>
    </row>
    <row customHeight="1" ht="11.25">
      <c r="A86" s="5279" t="s">
        <v>2344</v>
      </c>
      <c r="B86" s="5279" t="s">
        <v>16</v>
      </c>
      <c r="C86" s="5279" t="s">
        <v>2645</v>
      </c>
      <c r="D86" s="5279" t="s">
        <v>2646</v>
      </c>
      <c r="E86" s="5279" t="s">
        <v>2647</v>
      </c>
      <c r="F86" s="5279" t="s">
        <v>2405</v>
      </c>
      <c r="G86" s="5279" t="s">
        <v>28</v>
      </c>
      <c r="H86" s="5279" t="s">
        <v>28</v>
      </c>
      <c r="I86" s="5279" t="s">
        <v>898</v>
      </c>
    </row>
    <row customHeight="1" ht="11.25">
      <c r="A87" s="5279" t="s">
        <v>2344</v>
      </c>
      <c r="B87" s="5279" t="s">
        <v>16</v>
      </c>
      <c r="C87" s="5279" t="s">
        <v>2648</v>
      </c>
      <c r="D87" s="5279" t="s">
        <v>2649</v>
      </c>
      <c r="E87" s="5279" t="s">
        <v>2650</v>
      </c>
      <c r="F87" s="5279" t="s">
        <v>2384</v>
      </c>
      <c r="G87" s="5279" t="s">
        <v>28</v>
      </c>
      <c r="H87" s="5279" t="s">
        <v>28</v>
      </c>
      <c r="I87" s="5279" t="s">
        <v>898</v>
      </c>
    </row>
    <row customHeight="1" ht="11.25">
      <c r="A88" s="5279" t="s">
        <v>2344</v>
      </c>
      <c r="B88" s="5279" t="s">
        <v>16</v>
      </c>
      <c r="C88" s="5279" t="s">
        <v>2651</v>
      </c>
      <c r="D88" s="5279" t="s">
        <v>2652</v>
      </c>
      <c r="E88" s="5279" t="s">
        <v>2653</v>
      </c>
      <c r="F88" s="5279" t="s">
        <v>2526</v>
      </c>
      <c r="G88" s="5279" t="s">
        <v>28</v>
      </c>
      <c r="H88" s="5279" t="s">
        <v>28</v>
      </c>
      <c r="I88" s="5279" t="s">
        <v>898</v>
      </c>
    </row>
    <row customHeight="1" ht="11.25">
      <c r="A89" s="5279" t="s">
        <v>2344</v>
      </c>
      <c r="B89" s="5279" t="s">
        <v>16</v>
      </c>
      <c r="C89" s="5279" t="s">
        <v>2654</v>
      </c>
      <c r="D89" s="5279" t="s">
        <v>2655</v>
      </c>
      <c r="E89" s="5279" t="s">
        <v>2656</v>
      </c>
      <c r="F89" s="5279" t="s">
        <v>2351</v>
      </c>
      <c r="G89" s="5279" t="s">
        <v>28</v>
      </c>
      <c r="H89" s="5279" t="s">
        <v>28</v>
      </c>
      <c r="I89" s="5279" t="s">
        <v>898</v>
      </c>
    </row>
    <row customHeight="1" ht="11.25">
      <c r="A90" s="5279" t="s">
        <v>2344</v>
      </c>
      <c r="B90" s="5279" t="s">
        <v>16</v>
      </c>
      <c r="C90" s="5279" t="s">
        <v>2657</v>
      </c>
      <c r="D90" s="5279" t="s">
        <v>2658</v>
      </c>
      <c r="E90" s="5279" t="s">
        <v>2659</v>
      </c>
      <c r="F90" s="5279" t="s">
        <v>2351</v>
      </c>
      <c r="G90" s="5279" t="s">
        <v>28</v>
      </c>
      <c r="H90" s="5279" t="s">
        <v>28</v>
      </c>
      <c r="I90" s="5279" t="s">
        <v>898</v>
      </c>
    </row>
    <row customHeight="1" ht="11.25">
      <c r="A91" s="5279" t="s">
        <v>2344</v>
      </c>
      <c r="B91" s="5279" t="s">
        <v>16</v>
      </c>
      <c r="C91" s="5279" t="s">
        <v>2660</v>
      </c>
      <c r="D91" s="5279" t="s">
        <v>2661</v>
      </c>
      <c r="E91" s="5279" t="s">
        <v>2662</v>
      </c>
      <c r="F91" s="5279" t="s">
        <v>2526</v>
      </c>
      <c r="G91" s="5279" t="s">
        <v>2406</v>
      </c>
      <c r="H91" s="5279" t="s">
        <v>28</v>
      </c>
      <c r="I91" s="5279" t="s">
        <v>898</v>
      </c>
    </row>
    <row customHeight="1" ht="11.25">
      <c r="A92" s="5279" t="s">
        <v>2344</v>
      </c>
      <c r="B92" s="5279" t="s">
        <v>16</v>
      </c>
      <c r="C92" s="5279" t="s">
        <v>2663</v>
      </c>
      <c r="D92" s="5279" t="s">
        <v>2664</v>
      </c>
      <c r="E92" s="5279" t="s">
        <v>2665</v>
      </c>
      <c r="F92" s="5279" t="s">
        <v>2666</v>
      </c>
      <c r="G92" s="5279" t="s">
        <v>28</v>
      </c>
      <c r="H92" s="5279" t="s">
        <v>28</v>
      </c>
      <c r="I92" s="5279" t="s">
        <v>898</v>
      </c>
    </row>
    <row customHeight="1" ht="11.25">
      <c r="A93" s="5279" t="s">
        <v>2344</v>
      </c>
      <c r="B93" s="5279" t="s">
        <v>16</v>
      </c>
      <c r="C93" s="5279" t="s">
        <v>2667</v>
      </c>
      <c r="D93" s="5279" t="s">
        <v>2668</v>
      </c>
      <c r="E93" s="5279" t="s">
        <v>2669</v>
      </c>
      <c r="F93" s="5279" t="s">
        <v>2413</v>
      </c>
      <c r="G93" s="5279" t="s">
        <v>28</v>
      </c>
      <c r="H93" s="5279" t="s">
        <v>28</v>
      </c>
      <c r="I93" s="5279" t="s">
        <v>898</v>
      </c>
    </row>
    <row customHeight="1" ht="11.25">
      <c r="A94" s="5279" t="s">
        <v>2344</v>
      </c>
      <c r="B94" s="5279" t="s">
        <v>16</v>
      </c>
      <c r="C94" s="5279" t="s">
        <v>2670</v>
      </c>
      <c r="D94" s="5279" t="s">
        <v>2671</v>
      </c>
      <c r="E94" s="5279" t="s">
        <v>2672</v>
      </c>
      <c r="F94" s="5279" t="s">
        <v>2673</v>
      </c>
      <c r="G94" s="5279" t="s">
        <v>28</v>
      </c>
      <c r="H94" s="5279" t="s">
        <v>28</v>
      </c>
      <c r="I94" s="5279" t="s">
        <v>898</v>
      </c>
    </row>
    <row customHeight="1" ht="11.25">
      <c r="A95" s="5279" t="s">
        <v>2344</v>
      </c>
      <c r="B95" s="5279" t="s">
        <v>16</v>
      </c>
      <c r="C95" s="5279" t="s">
        <v>2674</v>
      </c>
      <c r="D95" s="5279" t="s">
        <v>2675</v>
      </c>
      <c r="E95" s="5279" t="s">
        <v>2676</v>
      </c>
      <c r="F95" s="5279" t="s">
        <v>2396</v>
      </c>
      <c r="G95" s="5279" t="s">
        <v>28</v>
      </c>
      <c r="H95" s="5279" t="s">
        <v>28</v>
      </c>
      <c r="I95" s="5279" t="s">
        <v>898</v>
      </c>
    </row>
    <row customHeight="1" ht="11.25">
      <c r="A96" s="5279" t="s">
        <v>2344</v>
      </c>
      <c r="B96" s="5279" t="s">
        <v>16</v>
      </c>
      <c r="C96" s="5279" t="s">
        <v>2677</v>
      </c>
      <c r="D96" s="5279" t="s">
        <v>2678</v>
      </c>
      <c r="E96" s="5279" t="s">
        <v>2679</v>
      </c>
      <c r="F96" s="5279" t="s">
        <v>2351</v>
      </c>
      <c r="G96" s="5279" t="s">
        <v>28</v>
      </c>
      <c r="H96" s="5279" t="s">
        <v>28</v>
      </c>
      <c r="I96" s="5279" t="s">
        <v>898</v>
      </c>
    </row>
    <row customHeight="1" ht="11.25">
      <c r="A97" s="5279" t="s">
        <v>2344</v>
      </c>
      <c r="B97" s="5279" t="s">
        <v>16</v>
      </c>
      <c r="C97" s="5279" t="s">
        <v>2680</v>
      </c>
      <c r="D97" s="5279" t="s">
        <v>2681</v>
      </c>
      <c r="E97" s="5279" t="s">
        <v>2682</v>
      </c>
      <c r="F97" s="5279" t="s">
        <v>2413</v>
      </c>
      <c r="G97" s="5279" t="s">
        <v>2683</v>
      </c>
      <c r="H97" s="5279" t="s">
        <v>28</v>
      </c>
      <c r="I97" s="5279" t="s">
        <v>898</v>
      </c>
    </row>
    <row customHeight="1" ht="11.25">
      <c r="A98" s="5279" t="s">
        <v>2344</v>
      </c>
      <c r="B98" s="5279" t="s">
        <v>16</v>
      </c>
      <c r="C98" s="5279" t="s">
        <v>2684</v>
      </c>
      <c r="D98" s="5279" t="s">
        <v>2685</v>
      </c>
      <c r="E98" s="5279" t="s">
        <v>2686</v>
      </c>
      <c r="F98" s="5279" t="s">
        <v>2687</v>
      </c>
      <c r="G98" s="5279" t="s">
        <v>28</v>
      </c>
      <c r="H98" s="5279" t="s">
        <v>28</v>
      </c>
      <c r="I98" s="5279" t="s">
        <v>898</v>
      </c>
    </row>
    <row customHeight="1" ht="11.25">
      <c r="A99" s="5279" t="s">
        <v>2344</v>
      </c>
      <c r="B99" s="5279" t="s">
        <v>16</v>
      </c>
      <c r="C99" s="5279" t="s">
        <v>2688</v>
      </c>
      <c r="D99" s="5279" t="s">
        <v>2689</v>
      </c>
      <c r="E99" s="5279" t="s">
        <v>2690</v>
      </c>
      <c r="F99" s="5279" t="s">
        <v>2347</v>
      </c>
      <c r="G99" s="5279" t="s">
        <v>28</v>
      </c>
      <c r="H99" s="5279" t="s">
        <v>28</v>
      </c>
      <c r="I99" s="5279" t="s">
        <v>898</v>
      </c>
    </row>
    <row customHeight="1" ht="11.25">
      <c r="A100" s="5279" t="s">
        <v>2344</v>
      </c>
      <c r="B100" s="5279" t="s">
        <v>16</v>
      </c>
      <c r="C100" s="5279" t="s">
        <v>2691</v>
      </c>
      <c r="D100" s="5279" t="s">
        <v>2692</v>
      </c>
      <c r="E100" s="5279" t="s">
        <v>2693</v>
      </c>
      <c r="F100" s="5279" t="s">
        <v>2359</v>
      </c>
      <c r="G100" s="5279" t="s">
        <v>28</v>
      </c>
      <c r="H100" s="5279" t="s">
        <v>28</v>
      </c>
      <c r="I100" s="5279" t="s">
        <v>898</v>
      </c>
    </row>
    <row customHeight="1" ht="11.25">
      <c r="A101" s="5279" t="s">
        <v>2344</v>
      </c>
      <c r="B101" s="5279" t="s">
        <v>16</v>
      </c>
      <c r="C101" s="5279" t="s">
        <v>2694</v>
      </c>
      <c r="D101" s="5279" t="s">
        <v>2695</v>
      </c>
      <c r="E101" s="5279" t="s">
        <v>2696</v>
      </c>
      <c r="F101" s="5279" t="s">
        <v>2351</v>
      </c>
      <c r="G101" s="5279" t="s">
        <v>28</v>
      </c>
      <c r="H101" s="5279" t="s">
        <v>28</v>
      </c>
      <c r="I101" s="5279" t="s">
        <v>898</v>
      </c>
    </row>
    <row customHeight="1" ht="11.25">
      <c r="A102" s="5279" t="s">
        <v>2344</v>
      </c>
      <c r="B102" s="5279" t="s">
        <v>16</v>
      </c>
      <c r="C102" s="5279" t="s">
        <v>2697</v>
      </c>
      <c r="D102" s="5279" t="s">
        <v>2698</v>
      </c>
      <c r="E102" s="5279" t="s">
        <v>2699</v>
      </c>
      <c r="F102" s="5279" t="s">
        <v>2700</v>
      </c>
      <c r="G102" s="5279" t="s">
        <v>2701</v>
      </c>
      <c r="H102" s="5279" t="s">
        <v>28</v>
      </c>
      <c r="I102" s="5279" t="s">
        <v>898</v>
      </c>
    </row>
    <row customHeight="1" ht="11.25">
      <c r="A103" s="5279" t="s">
        <v>2344</v>
      </c>
      <c r="B103" s="5279" t="s">
        <v>16</v>
      </c>
      <c r="C103" s="5279" t="s">
        <v>2702</v>
      </c>
      <c r="D103" s="5279" t="s">
        <v>2703</v>
      </c>
      <c r="E103" s="5279" t="s">
        <v>2704</v>
      </c>
      <c r="F103" s="5279" t="s">
        <v>2673</v>
      </c>
      <c r="G103" s="5279" t="s">
        <v>2705</v>
      </c>
      <c r="H103" s="5279" t="s">
        <v>28</v>
      </c>
      <c r="I103" s="5279" t="s">
        <v>898</v>
      </c>
    </row>
    <row customHeight="1" ht="11.25">
      <c r="A104" s="5279" t="s">
        <v>2344</v>
      </c>
      <c r="B104" s="5279" t="s">
        <v>16</v>
      </c>
      <c r="C104" s="5279" t="s">
        <v>2706</v>
      </c>
      <c r="D104" s="5279" t="s">
        <v>2707</v>
      </c>
      <c r="E104" s="5279" t="s">
        <v>2708</v>
      </c>
      <c r="F104" s="5279" t="s">
        <v>2396</v>
      </c>
      <c r="G104" s="5279" t="s">
        <v>2709</v>
      </c>
      <c r="H104" s="5279" t="s">
        <v>28</v>
      </c>
      <c r="I104" s="5279" t="s">
        <v>898</v>
      </c>
    </row>
    <row customHeight="1" ht="11.25">
      <c r="A105" s="5279" t="s">
        <v>2344</v>
      </c>
      <c r="B105" s="5279" t="s">
        <v>16</v>
      </c>
      <c r="C105" s="5279" t="s">
        <v>2710</v>
      </c>
      <c r="D105" s="5279" t="s">
        <v>2711</v>
      </c>
      <c r="E105" s="5279" t="s">
        <v>2712</v>
      </c>
      <c r="F105" s="5279" t="s">
        <v>2713</v>
      </c>
      <c r="G105" s="5279" t="s">
        <v>28</v>
      </c>
      <c r="H105" s="5279" t="s">
        <v>28</v>
      </c>
      <c r="I105" s="5279" t="s">
        <v>898</v>
      </c>
    </row>
    <row customHeight="1" ht="11.25">
      <c r="A106" s="5279" t="s">
        <v>2344</v>
      </c>
      <c r="B106" s="5279" t="s">
        <v>16</v>
      </c>
      <c r="C106" s="5279" t="s">
        <v>2714</v>
      </c>
      <c r="D106" s="5279" t="s">
        <v>2715</v>
      </c>
      <c r="E106" s="5279" t="s">
        <v>2716</v>
      </c>
      <c r="F106" s="5279" t="s">
        <v>2347</v>
      </c>
      <c r="G106" s="5279" t="s">
        <v>28</v>
      </c>
      <c r="H106" s="5279" t="s">
        <v>28</v>
      </c>
      <c r="I106" s="5279" t="s">
        <v>898</v>
      </c>
    </row>
    <row customHeight="1" ht="11.25">
      <c r="A107" s="5279" t="s">
        <v>2344</v>
      </c>
      <c r="B107" s="5279" t="s">
        <v>16</v>
      </c>
      <c r="C107" s="5279" t="s">
        <v>2717</v>
      </c>
      <c r="D107" s="5279" t="s">
        <v>2718</v>
      </c>
      <c r="E107" s="5279" t="s">
        <v>2442</v>
      </c>
      <c r="F107" s="5279" t="s">
        <v>2719</v>
      </c>
      <c r="G107" s="5279" t="s">
        <v>28</v>
      </c>
      <c r="H107" s="5279" t="s">
        <v>28</v>
      </c>
      <c r="I107" s="5279" t="s">
        <v>898</v>
      </c>
    </row>
    <row customHeight="1" ht="11.25">
      <c r="A108" s="5279" t="s">
        <v>2344</v>
      </c>
      <c r="B108" s="5279" t="s">
        <v>16</v>
      </c>
      <c r="C108" s="5279" t="s">
        <v>2720</v>
      </c>
      <c r="D108" s="5279" t="s">
        <v>2721</v>
      </c>
      <c r="E108" s="5279" t="s">
        <v>2722</v>
      </c>
      <c r="F108" s="5279" t="s">
        <v>2547</v>
      </c>
      <c r="G108" s="5279" t="s">
        <v>28</v>
      </c>
      <c r="H108" s="5279" t="s">
        <v>28</v>
      </c>
      <c r="I108" s="5279" t="s">
        <v>898</v>
      </c>
    </row>
    <row customHeight="1" ht="11.25">
      <c r="A109" s="5279" t="s">
        <v>2344</v>
      </c>
      <c r="B109" s="5279" t="s">
        <v>16</v>
      </c>
      <c r="C109" s="5279" t="s">
        <v>2723</v>
      </c>
      <c r="D109" s="5279" t="s">
        <v>2724</v>
      </c>
      <c r="E109" s="5279" t="s">
        <v>2725</v>
      </c>
      <c r="F109" s="5279" t="s">
        <v>2726</v>
      </c>
      <c r="G109" s="5279" t="s">
        <v>2727</v>
      </c>
      <c r="H109" s="5279" t="s">
        <v>28</v>
      </c>
      <c r="I109" s="5279" t="s">
        <v>898</v>
      </c>
    </row>
    <row customHeight="1" ht="11.25">
      <c r="A110" s="5279" t="s">
        <v>2344</v>
      </c>
      <c r="B110" s="5279" t="s">
        <v>16</v>
      </c>
      <c r="C110" s="5279" t="s">
        <v>2728</v>
      </c>
      <c r="D110" s="5279" t="s">
        <v>2729</v>
      </c>
      <c r="E110" s="5279" t="s">
        <v>2730</v>
      </c>
      <c r="F110" s="5279" t="s">
        <v>2547</v>
      </c>
      <c r="G110" s="5279" t="s">
        <v>28</v>
      </c>
      <c r="H110" s="5279" t="s">
        <v>28</v>
      </c>
      <c r="I110" s="5279" t="s">
        <v>898</v>
      </c>
    </row>
    <row customHeight="1" ht="11.25">
      <c r="A111" s="5279" t="s">
        <v>2344</v>
      </c>
      <c r="B111" s="5279" t="s">
        <v>16</v>
      </c>
      <c r="C111" s="5279" t="s">
        <v>2731</v>
      </c>
      <c r="D111" s="5279" t="s">
        <v>2732</v>
      </c>
      <c r="E111" s="5279" t="s">
        <v>2733</v>
      </c>
      <c r="F111" s="5279" t="s">
        <v>2489</v>
      </c>
      <c r="G111" s="5279" t="s">
        <v>28</v>
      </c>
      <c r="H111" s="5279" t="s">
        <v>28</v>
      </c>
      <c r="I111" s="5279" t="s">
        <v>898</v>
      </c>
    </row>
    <row customHeight="1" ht="11.25">
      <c r="A112" s="5279" t="s">
        <v>2344</v>
      </c>
      <c r="B112" s="5279" t="s">
        <v>16</v>
      </c>
      <c r="C112" s="5279" t="s">
        <v>2734</v>
      </c>
      <c r="D112" s="5279" t="s">
        <v>2735</v>
      </c>
      <c r="E112" s="5279" t="s">
        <v>2736</v>
      </c>
      <c r="F112" s="5279" t="s">
        <v>2479</v>
      </c>
      <c r="G112" s="5279" t="s">
        <v>28</v>
      </c>
      <c r="H112" s="5279" t="s">
        <v>28</v>
      </c>
      <c r="I112" s="5279" t="s">
        <v>898</v>
      </c>
    </row>
    <row customHeight="1" ht="11.25">
      <c r="A113" s="5279" t="s">
        <v>2344</v>
      </c>
      <c r="B113" s="5279" t="s">
        <v>16</v>
      </c>
      <c r="C113" s="5279" t="s">
        <v>2737</v>
      </c>
      <c r="D113" s="5279" t="s">
        <v>2738</v>
      </c>
      <c r="E113" s="5279" t="s">
        <v>2739</v>
      </c>
      <c r="F113" s="5279" t="s">
        <v>2355</v>
      </c>
      <c r="G113" s="5279" t="s">
        <v>28</v>
      </c>
      <c r="H113" s="5279" t="s">
        <v>28</v>
      </c>
      <c r="I113" s="5279" t="s">
        <v>898</v>
      </c>
    </row>
    <row customHeight="1" ht="11.25">
      <c r="A114" s="5279" t="s">
        <v>2344</v>
      </c>
      <c r="B114" s="5279" t="s">
        <v>16</v>
      </c>
      <c r="C114" s="5279" t="s">
        <v>2740</v>
      </c>
      <c r="D114" s="5279" t="s">
        <v>2741</v>
      </c>
      <c r="E114" s="5279" t="s">
        <v>2742</v>
      </c>
      <c r="F114" s="5279" t="s">
        <v>2743</v>
      </c>
      <c r="G114" s="5279" t="s">
        <v>28</v>
      </c>
      <c r="H114" s="5279" t="s">
        <v>28</v>
      </c>
      <c r="I114" s="5279" t="s">
        <v>898</v>
      </c>
    </row>
    <row customHeight="1" ht="11.25">
      <c r="A115" s="5279" t="s">
        <v>2344</v>
      </c>
      <c r="B115" s="5279" t="s">
        <v>16</v>
      </c>
      <c r="C115" s="5279" t="s">
        <v>2744</v>
      </c>
      <c r="D115" s="5279" t="s">
        <v>2745</v>
      </c>
      <c r="E115" s="5279" t="s">
        <v>2746</v>
      </c>
      <c r="F115" s="5279" t="s">
        <v>2405</v>
      </c>
      <c r="G115" s="5279" t="s">
        <v>28</v>
      </c>
      <c r="H115" s="5279" t="s">
        <v>28</v>
      </c>
      <c r="I115" s="5279" t="s">
        <v>898</v>
      </c>
    </row>
    <row customHeight="1" ht="11.25">
      <c r="A116" s="5279" t="s">
        <v>2344</v>
      </c>
      <c r="B116" s="5279" t="s">
        <v>16</v>
      </c>
      <c r="C116" s="5279" t="s">
        <v>2747</v>
      </c>
      <c r="D116" s="5279" t="s">
        <v>2748</v>
      </c>
      <c r="E116" s="5279" t="s">
        <v>2749</v>
      </c>
      <c r="F116" s="5279" t="s">
        <v>2384</v>
      </c>
      <c r="G116" s="5279" t="s">
        <v>28</v>
      </c>
      <c r="H116" s="5279" t="s">
        <v>28</v>
      </c>
      <c r="I116" s="5279" t="s">
        <v>898</v>
      </c>
    </row>
    <row customHeight="1" ht="11.25">
      <c r="A117" s="5279" t="s">
        <v>2344</v>
      </c>
      <c r="B117" s="5279" t="s">
        <v>16</v>
      </c>
      <c r="C117" s="5279" t="s">
        <v>2750</v>
      </c>
      <c r="D117" s="5279" t="s">
        <v>2751</v>
      </c>
      <c r="E117" s="5279" t="s">
        <v>2752</v>
      </c>
      <c r="F117" s="5279" t="s">
        <v>2489</v>
      </c>
      <c r="G117" s="5279" t="s">
        <v>28</v>
      </c>
      <c r="H117" s="5279" t="s">
        <v>28</v>
      </c>
      <c r="I117" s="5279" t="s">
        <v>898</v>
      </c>
    </row>
    <row customHeight="1" ht="11.25">
      <c r="A118" s="5279" t="s">
        <v>2344</v>
      </c>
      <c r="B118" s="5279" t="s">
        <v>16</v>
      </c>
      <c r="C118" s="5279" t="s">
        <v>2753</v>
      </c>
      <c r="D118" s="5279" t="s">
        <v>2754</v>
      </c>
      <c r="E118" s="5279" t="s">
        <v>2755</v>
      </c>
      <c r="F118" s="5279" t="s">
        <v>2384</v>
      </c>
      <c r="G118" s="5279" t="s">
        <v>28</v>
      </c>
      <c r="H118" s="5279" t="s">
        <v>28</v>
      </c>
      <c r="I118" s="5279" t="s">
        <v>898</v>
      </c>
    </row>
    <row customHeight="1" ht="11.25">
      <c r="A119" s="5279" t="s">
        <v>2344</v>
      </c>
      <c r="B119" s="5279" t="s">
        <v>16</v>
      </c>
      <c r="C119" s="5279" t="s">
        <v>2756</v>
      </c>
      <c r="D119" s="5279" t="s">
        <v>2757</v>
      </c>
      <c r="E119" s="5279" t="s">
        <v>2758</v>
      </c>
      <c r="F119" s="5279" t="s">
        <v>2384</v>
      </c>
      <c r="G119" s="5279" t="s">
        <v>28</v>
      </c>
      <c r="H119" s="5279" t="s">
        <v>28</v>
      </c>
      <c r="I119" s="5279" t="s">
        <v>898</v>
      </c>
    </row>
    <row customHeight="1" ht="11.25">
      <c r="A120" s="5279" t="s">
        <v>2344</v>
      </c>
      <c r="B120" s="5279" t="s">
        <v>16</v>
      </c>
      <c r="C120" s="5279" t="s">
        <v>2759</v>
      </c>
      <c r="D120" s="5279" t="s">
        <v>2760</v>
      </c>
      <c r="E120" s="5279" t="s">
        <v>2761</v>
      </c>
      <c r="F120" s="5279" t="s">
        <v>2547</v>
      </c>
      <c r="G120" s="5279" t="s">
        <v>28</v>
      </c>
      <c r="H120" s="5279" t="s">
        <v>28</v>
      </c>
      <c r="I120" s="5279" t="s">
        <v>898</v>
      </c>
    </row>
    <row customHeight="1" ht="11.25">
      <c r="A121" s="5279" t="s">
        <v>2344</v>
      </c>
      <c r="B121" s="5279" t="s">
        <v>16</v>
      </c>
      <c r="C121" s="5279" t="s">
        <v>2762</v>
      </c>
      <c r="D121" s="5279" t="s">
        <v>2763</v>
      </c>
      <c r="E121" s="5279" t="s">
        <v>2764</v>
      </c>
      <c r="F121" s="5279" t="s">
        <v>2765</v>
      </c>
      <c r="G121" s="5279" t="s">
        <v>28</v>
      </c>
      <c r="H121" s="5279" t="s">
        <v>28</v>
      </c>
      <c r="I121" s="5279" t="s">
        <v>898</v>
      </c>
    </row>
    <row customHeight="1" ht="11.25">
      <c r="A122" s="5279" t="s">
        <v>2344</v>
      </c>
      <c r="B122" s="5279" t="s">
        <v>16</v>
      </c>
      <c r="C122" s="5279" t="s">
        <v>2766</v>
      </c>
      <c r="D122" s="5279" t="s">
        <v>2767</v>
      </c>
      <c r="E122" s="5279" t="s">
        <v>2768</v>
      </c>
      <c r="F122" s="5279" t="s">
        <v>2769</v>
      </c>
      <c r="G122" s="5279" t="s">
        <v>28</v>
      </c>
      <c r="H122" s="5279" t="s">
        <v>28</v>
      </c>
      <c r="I122" s="5279" t="s">
        <v>898</v>
      </c>
    </row>
    <row customHeight="1" ht="11.25">
      <c r="A123" s="5279" t="s">
        <v>2344</v>
      </c>
      <c r="B123" s="5279" t="s">
        <v>16</v>
      </c>
      <c r="C123" s="5279" t="s">
        <v>2770</v>
      </c>
      <c r="D123" s="5279" t="s">
        <v>2771</v>
      </c>
      <c r="E123" s="5279" t="s">
        <v>2772</v>
      </c>
      <c r="F123" s="5279" t="s">
        <v>2376</v>
      </c>
      <c r="G123" s="5279" t="s">
        <v>28</v>
      </c>
      <c r="H123" s="5279" t="s">
        <v>28</v>
      </c>
      <c r="I123" s="5279" t="s">
        <v>898</v>
      </c>
    </row>
    <row customHeight="1" ht="11.25">
      <c r="A124" s="5279" t="s">
        <v>2344</v>
      </c>
      <c r="B124" s="5279" t="s">
        <v>16</v>
      </c>
      <c r="C124" s="5279" t="s">
        <v>2773</v>
      </c>
      <c r="D124" s="5279" t="s">
        <v>2774</v>
      </c>
      <c r="E124" s="5279" t="s">
        <v>2775</v>
      </c>
      <c r="F124" s="5279" t="s">
        <v>2380</v>
      </c>
      <c r="G124" s="5279" t="s">
        <v>28</v>
      </c>
      <c r="H124" s="5279" t="s">
        <v>28</v>
      </c>
      <c r="I124" s="5279" t="s">
        <v>898</v>
      </c>
    </row>
    <row customHeight="1" ht="11.25">
      <c r="A125" s="5279" t="s">
        <v>2344</v>
      </c>
      <c r="B125" s="5279" t="s">
        <v>16</v>
      </c>
      <c r="C125" s="5279" t="s">
        <v>28</v>
      </c>
      <c r="D125" s="5279" t="s">
        <v>2345</v>
      </c>
      <c r="E125" s="5279" t="s">
        <v>2346</v>
      </c>
      <c r="F125" s="5279" t="s">
        <v>2347</v>
      </c>
      <c r="G125" s="5279" t="s">
        <v>28</v>
      </c>
      <c r="H125" s="5279" t="s">
        <v>28</v>
      </c>
      <c r="I125" s="5279" t="s">
        <v>984</v>
      </c>
    </row>
    <row customHeight="1" ht="11.25">
      <c r="A126" s="5279" t="s">
        <v>2344</v>
      </c>
      <c r="B126" s="5279" t="s">
        <v>16</v>
      </c>
      <c r="C126" s="5279" t="s">
        <v>2356</v>
      </c>
      <c r="D126" s="5279" t="s">
        <v>2357</v>
      </c>
      <c r="E126" s="5279" t="s">
        <v>2358</v>
      </c>
      <c r="F126" s="5279" t="s">
        <v>2359</v>
      </c>
      <c r="G126" s="5279" t="s">
        <v>28</v>
      </c>
      <c r="H126" s="5279" t="s">
        <v>28</v>
      </c>
      <c r="I126" s="5279" t="s">
        <v>984</v>
      </c>
    </row>
    <row customHeight="1" ht="11.25">
      <c r="A127" s="5279" t="s">
        <v>2344</v>
      </c>
      <c r="B127" s="5279" t="s">
        <v>16</v>
      </c>
      <c r="C127" s="5279" t="s">
        <v>2360</v>
      </c>
      <c r="D127" s="5279" t="s">
        <v>2361</v>
      </c>
      <c r="E127" s="5279" t="s">
        <v>2362</v>
      </c>
      <c r="F127" s="5279" t="s">
        <v>2363</v>
      </c>
      <c r="G127" s="5279" t="s">
        <v>28</v>
      </c>
      <c r="H127" s="5279" t="s">
        <v>28</v>
      </c>
      <c r="I127" s="5279" t="s">
        <v>984</v>
      </c>
    </row>
    <row customHeight="1" ht="11.25">
      <c r="A128" s="5279" t="s">
        <v>2344</v>
      </c>
      <c r="B128" s="5279" t="s">
        <v>16</v>
      </c>
      <c r="C128" s="5279" t="s">
        <v>2367</v>
      </c>
      <c r="D128" s="5279" t="s">
        <v>2368</v>
      </c>
      <c r="E128" s="5279" t="s">
        <v>2362</v>
      </c>
      <c r="F128" s="5279" t="s">
        <v>2369</v>
      </c>
      <c r="G128" s="5279" t="s">
        <v>28</v>
      </c>
      <c r="H128" s="5279" t="s">
        <v>28</v>
      </c>
      <c r="I128" s="5279" t="s">
        <v>984</v>
      </c>
    </row>
    <row customHeight="1" ht="11.25">
      <c r="A129" s="5279" t="s">
        <v>2344</v>
      </c>
      <c r="B129" s="5279" t="s">
        <v>16</v>
      </c>
      <c r="C129" s="5279" t="s">
        <v>2370</v>
      </c>
      <c r="D129" s="5279" t="s">
        <v>2371</v>
      </c>
      <c r="E129" s="5279" t="s">
        <v>2362</v>
      </c>
      <c r="F129" s="5279" t="s">
        <v>2372</v>
      </c>
      <c r="G129" s="5279" t="s">
        <v>28</v>
      </c>
      <c r="H129" s="5279" t="s">
        <v>28</v>
      </c>
      <c r="I129" s="5279" t="s">
        <v>984</v>
      </c>
    </row>
    <row customHeight="1" ht="11.25">
      <c r="A130" s="5279" t="s">
        <v>2344</v>
      </c>
      <c r="B130" s="5279" t="s">
        <v>16</v>
      </c>
      <c r="C130" s="5279" t="s">
        <v>2377</v>
      </c>
      <c r="D130" s="5279" t="s">
        <v>2378</v>
      </c>
      <c r="E130" s="5279" t="s">
        <v>2379</v>
      </c>
      <c r="F130" s="5279" t="s">
        <v>2380</v>
      </c>
      <c r="G130" s="5279" t="s">
        <v>28</v>
      </c>
      <c r="H130" s="5279" t="s">
        <v>28</v>
      </c>
      <c r="I130" s="5279" t="s">
        <v>984</v>
      </c>
    </row>
    <row customHeight="1" ht="11.25">
      <c r="A131" s="5279" t="s">
        <v>2344</v>
      </c>
      <c r="B131" s="5279" t="s">
        <v>16</v>
      </c>
      <c r="C131" s="5279" t="s">
        <v>2385</v>
      </c>
      <c r="D131" s="5279" t="s">
        <v>2386</v>
      </c>
      <c r="E131" s="5279" t="s">
        <v>2387</v>
      </c>
      <c r="F131" s="5279" t="s">
        <v>2388</v>
      </c>
      <c r="G131" s="5279" t="s">
        <v>2389</v>
      </c>
      <c r="H131" s="5279" t="s">
        <v>28</v>
      </c>
      <c r="I131" s="5279" t="s">
        <v>984</v>
      </c>
    </row>
    <row customHeight="1" ht="11.25">
      <c r="A132" s="5279" t="s">
        <v>2344</v>
      </c>
      <c r="B132" s="5279" t="s">
        <v>16</v>
      </c>
      <c r="C132" s="5279" t="s">
        <v>2402</v>
      </c>
      <c r="D132" s="5279" t="s">
        <v>2403</v>
      </c>
      <c r="E132" s="5279" t="s">
        <v>2404</v>
      </c>
      <c r="F132" s="5279" t="s">
        <v>2405</v>
      </c>
      <c r="G132" s="5279" t="s">
        <v>2406</v>
      </c>
      <c r="H132" s="5279" t="s">
        <v>28</v>
      </c>
      <c r="I132" s="5279" t="s">
        <v>984</v>
      </c>
    </row>
    <row customHeight="1" ht="11.25">
      <c r="A133" s="5279" t="s">
        <v>2344</v>
      </c>
      <c r="B133" s="5279" t="s">
        <v>16</v>
      </c>
      <c r="C133" s="5279" t="s">
        <v>2407</v>
      </c>
      <c r="D133" s="5279" t="s">
        <v>2408</v>
      </c>
      <c r="E133" s="5279" t="s">
        <v>2409</v>
      </c>
      <c r="F133" s="5279" t="s">
        <v>2376</v>
      </c>
      <c r="G133" s="5279" t="s">
        <v>28</v>
      </c>
      <c r="H133" s="5279" t="s">
        <v>28</v>
      </c>
      <c r="I133" s="5279" t="s">
        <v>984</v>
      </c>
    </row>
    <row customHeight="1" ht="11.25">
      <c r="A134" s="5279" t="s">
        <v>2344</v>
      </c>
      <c r="B134" s="5279" t="s">
        <v>16</v>
      </c>
      <c r="C134" s="5279" t="s">
        <v>2414</v>
      </c>
      <c r="D134" s="5279" t="s">
        <v>2415</v>
      </c>
      <c r="E134" s="5279" t="s">
        <v>2416</v>
      </c>
      <c r="F134" s="5279" t="s">
        <v>2384</v>
      </c>
      <c r="G134" s="5279" t="s">
        <v>2417</v>
      </c>
      <c r="H134" s="5279" t="s">
        <v>28</v>
      </c>
      <c r="I134" s="5279" t="s">
        <v>984</v>
      </c>
    </row>
    <row customHeight="1" ht="11.25">
      <c r="A135" s="5279" t="s">
        <v>2344</v>
      </c>
      <c r="B135" s="5279" t="s">
        <v>16</v>
      </c>
      <c r="C135" s="5279" t="s">
        <v>2426</v>
      </c>
      <c r="D135" s="5279" t="s">
        <v>2427</v>
      </c>
      <c r="E135" s="5279" t="s">
        <v>2428</v>
      </c>
      <c r="F135" s="5279" t="s">
        <v>2429</v>
      </c>
      <c r="G135" s="5279" t="s">
        <v>28</v>
      </c>
      <c r="H135" s="5279" t="s">
        <v>28</v>
      </c>
      <c r="I135" s="5279" t="s">
        <v>984</v>
      </c>
    </row>
    <row customHeight="1" ht="11.25">
      <c r="A136" s="5279" t="s">
        <v>2344</v>
      </c>
      <c r="B136" s="5279" t="s">
        <v>16</v>
      </c>
      <c r="C136" s="5279" t="s">
        <v>2444</v>
      </c>
      <c r="D136" s="5279" t="s">
        <v>2445</v>
      </c>
      <c r="E136" s="5279" t="s">
        <v>2442</v>
      </c>
      <c r="F136" s="5279" t="s">
        <v>2446</v>
      </c>
      <c r="G136" s="5279" t="s">
        <v>28</v>
      </c>
      <c r="H136" s="5279" t="s">
        <v>28</v>
      </c>
      <c r="I136" s="5279" t="s">
        <v>984</v>
      </c>
    </row>
    <row customHeight="1" ht="11.25">
      <c r="A137" s="5279" t="s">
        <v>2344</v>
      </c>
      <c r="B137" s="5279" t="s">
        <v>16</v>
      </c>
      <c r="C137" s="5279" t="s">
        <v>2776</v>
      </c>
      <c r="D137" s="5279" t="s">
        <v>47</v>
      </c>
      <c r="E137" s="5279" t="s">
        <v>50</v>
      </c>
      <c r="F137" s="5279" t="s">
        <v>2777</v>
      </c>
      <c r="G137" s="5279" t="s">
        <v>28</v>
      </c>
      <c r="H137" s="5279" t="s">
        <v>28</v>
      </c>
      <c r="I137" s="5279" t="s">
        <v>984</v>
      </c>
    </row>
    <row customHeight="1" ht="11.25">
      <c r="A138" s="5279" t="s">
        <v>2344</v>
      </c>
      <c r="B138" s="5279" t="s">
        <v>16</v>
      </c>
      <c r="C138" s="5279" t="s">
        <v>2778</v>
      </c>
      <c r="D138" s="5279" t="s">
        <v>47</v>
      </c>
      <c r="E138" s="5279" t="s">
        <v>50</v>
      </c>
      <c r="F138" s="5279" t="s">
        <v>2779</v>
      </c>
      <c r="G138" s="5279" t="s">
        <v>28</v>
      </c>
      <c r="H138" s="5279" t="s">
        <v>28</v>
      </c>
      <c r="I138" s="5279" t="s">
        <v>984</v>
      </c>
    </row>
    <row customHeight="1" ht="11.25">
      <c r="A139" s="5279" t="s">
        <v>2344</v>
      </c>
      <c r="B139" s="5279" t="s">
        <v>16</v>
      </c>
      <c r="C139" s="5279" t="s">
        <v>2780</v>
      </c>
      <c r="D139" s="5279" t="s">
        <v>47</v>
      </c>
      <c r="E139" s="5279" t="s">
        <v>50</v>
      </c>
      <c r="F139" s="5279" t="s">
        <v>2781</v>
      </c>
      <c r="G139" s="5279" t="s">
        <v>28</v>
      </c>
      <c r="H139" s="5279" t="s">
        <v>28</v>
      </c>
      <c r="I139" s="5279" t="s">
        <v>984</v>
      </c>
    </row>
    <row customHeight="1" ht="11.25">
      <c r="A140" s="5279" t="s">
        <v>2344</v>
      </c>
      <c r="B140" s="5279" t="s">
        <v>16</v>
      </c>
      <c r="C140" s="5279" t="s">
        <v>2782</v>
      </c>
      <c r="D140" s="5279" t="s">
        <v>47</v>
      </c>
      <c r="E140" s="5279" t="s">
        <v>50</v>
      </c>
      <c r="F140" s="5279" t="s">
        <v>2783</v>
      </c>
      <c r="G140" s="5279" t="s">
        <v>28</v>
      </c>
      <c r="H140" s="5279" t="s">
        <v>28</v>
      </c>
      <c r="I140" s="5279" t="s">
        <v>984</v>
      </c>
    </row>
    <row customHeight="1" ht="11.25">
      <c r="A141" s="5279" t="s">
        <v>2344</v>
      </c>
      <c r="B141" s="5279" t="s">
        <v>16</v>
      </c>
      <c r="C141" s="5279" t="s">
        <v>2784</v>
      </c>
      <c r="D141" s="5279" t="s">
        <v>47</v>
      </c>
      <c r="E141" s="5279" t="s">
        <v>50</v>
      </c>
      <c r="F141" s="5279" t="s">
        <v>2785</v>
      </c>
      <c r="G141" s="5279" t="s">
        <v>28</v>
      </c>
      <c r="H141" s="5279" t="s">
        <v>28</v>
      </c>
      <c r="I141" s="5279" t="s">
        <v>984</v>
      </c>
    </row>
    <row customHeight="1" ht="11.25">
      <c r="A142" s="5279" t="s">
        <v>2344</v>
      </c>
      <c r="B142" s="5279" t="s">
        <v>16</v>
      </c>
      <c r="C142" s="5279" t="s">
        <v>2786</v>
      </c>
      <c r="D142" s="5279" t="s">
        <v>47</v>
      </c>
      <c r="E142" s="5279" t="s">
        <v>50</v>
      </c>
      <c r="F142" s="5279" t="s">
        <v>2787</v>
      </c>
      <c r="G142" s="5279" t="s">
        <v>28</v>
      </c>
      <c r="H142" s="5279" t="s">
        <v>28</v>
      </c>
      <c r="I142" s="5279" t="s">
        <v>984</v>
      </c>
    </row>
    <row customHeight="1" ht="11.25">
      <c r="A143" s="5279" t="s">
        <v>2344</v>
      </c>
      <c r="B143" s="5279" t="s">
        <v>16</v>
      </c>
      <c r="C143" s="5279" t="s">
        <v>2788</v>
      </c>
      <c r="D143" s="5279" t="s">
        <v>47</v>
      </c>
      <c r="E143" s="5279" t="s">
        <v>50</v>
      </c>
      <c r="F143" s="5279" t="s">
        <v>2789</v>
      </c>
      <c r="G143" s="5279" t="s">
        <v>28</v>
      </c>
      <c r="H143" s="5279" t="s">
        <v>28</v>
      </c>
      <c r="I143" s="5279" t="s">
        <v>984</v>
      </c>
    </row>
    <row customHeight="1" ht="11.25">
      <c r="A144" s="5279" t="s">
        <v>2344</v>
      </c>
      <c r="B144" s="5279" t="s">
        <v>16</v>
      </c>
      <c r="C144" s="5279" t="s">
        <v>2790</v>
      </c>
      <c r="D144" s="5279" t="s">
        <v>47</v>
      </c>
      <c r="E144" s="5279" t="s">
        <v>50</v>
      </c>
      <c r="F144" s="5279" t="s">
        <v>2791</v>
      </c>
      <c r="G144" s="5279" t="s">
        <v>28</v>
      </c>
      <c r="H144" s="5279" t="s">
        <v>28</v>
      </c>
      <c r="I144" s="5279" t="s">
        <v>984</v>
      </c>
    </row>
    <row customHeight="1" ht="11.25">
      <c r="A145" s="5279" t="s">
        <v>2344</v>
      </c>
      <c r="B145" s="5279" t="s">
        <v>16</v>
      </c>
      <c r="C145" s="5279" t="s">
        <v>2490</v>
      </c>
      <c r="D145" s="5279" t="s">
        <v>47</v>
      </c>
      <c r="E145" s="5279" t="s">
        <v>50</v>
      </c>
      <c r="F145" s="5279" t="s">
        <v>2489</v>
      </c>
      <c r="G145" s="5279" t="s">
        <v>28</v>
      </c>
      <c r="H145" s="5279" t="s">
        <v>28</v>
      </c>
      <c r="I145" s="5279" t="s">
        <v>984</v>
      </c>
    </row>
    <row customHeight="1" ht="11.25">
      <c r="A146" s="5279" t="s">
        <v>2344</v>
      </c>
      <c r="B146" s="5279" t="s">
        <v>16</v>
      </c>
      <c r="C146" s="5279" t="s">
        <v>2792</v>
      </c>
      <c r="D146" s="5279" t="s">
        <v>2793</v>
      </c>
      <c r="E146" s="5279" t="s">
        <v>50</v>
      </c>
      <c r="F146" s="5279" t="s">
        <v>2794</v>
      </c>
      <c r="G146" s="5279" t="s">
        <v>28</v>
      </c>
      <c r="H146" s="5279" t="s">
        <v>28</v>
      </c>
      <c r="I146" s="5279" t="s">
        <v>984</v>
      </c>
    </row>
    <row customHeight="1" ht="11.25">
      <c r="A147" s="5279" t="s">
        <v>2344</v>
      </c>
      <c r="B147" s="5279" t="s">
        <v>16</v>
      </c>
      <c r="C147" s="5279" t="s">
        <v>2499</v>
      </c>
      <c r="D147" s="5279" t="s">
        <v>2500</v>
      </c>
      <c r="E147" s="5279" t="s">
        <v>2501</v>
      </c>
      <c r="F147" s="5279" t="s">
        <v>2376</v>
      </c>
      <c r="G147" s="5279" t="s">
        <v>28</v>
      </c>
      <c r="H147" s="5279" t="s">
        <v>28</v>
      </c>
      <c r="I147" s="5279" t="s">
        <v>984</v>
      </c>
    </row>
    <row customHeight="1" ht="11.25">
      <c r="A148" s="5279" t="s">
        <v>2344</v>
      </c>
      <c r="B148" s="5279" t="s">
        <v>16</v>
      </c>
      <c r="C148" s="5279" t="s">
        <v>2506</v>
      </c>
      <c r="D148" s="5279" t="s">
        <v>2507</v>
      </c>
      <c r="E148" s="5279" t="s">
        <v>2508</v>
      </c>
      <c r="F148" s="5279" t="s">
        <v>2509</v>
      </c>
      <c r="G148" s="5279" t="s">
        <v>28</v>
      </c>
      <c r="H148" s="5279" t="s">
        <v>28</v>
      </c>
      <c r="I148" s="5279" t="s">
        <v>984</v>
      </c>
    </row>
    <row customHeight="1" ht="11.25">
      <c r="A149" s="5279" t="s">
        <v>2344</v>
      </c>
      <c r="B149" s="5279" t="s">
        <v>16</v>
      </c>
      <c r="C149" s="5279" t="s">
        <v>2527</v>
      </c>
      <c r="D149" s="5279" t="s">
        <v>2528</v>
      </c>
      <c r="E149" s="5279" t="s">
        <v>2529</v>
      </c>
      <c r="F149" s="5279" t="s">
        <v>2489</v>
      </c>
      <c r="G149" s="5279" t="s">
        <v>28</v>
      </c>
      <c r="H149" s="5279" t="s">
        <v>28</v>
      </c>
      <c r="I149" s="5279" t="s">
        <v>984</v>
      </c>
    </row>
    <row customHeight="1" ht="11.25">
      <c r="A150" s="5279" t="s">
        <v>2344</v>
      </c>
      <c r="B150" s="5279" t="s">
        <v>16</v>
      </c>
      <c r="C150" s="5279" t="s">
        <v>2554</v>
      </c>
      <c r="D150" s="5279" t="s">
        <v>2555</v>
      </c>
      <c r="E150" s="5279" t="s">
        <v>2556</v>
      </c>
      <c r="F150" s="5279" t="s">
        <v>2384</v>
      </c>
      <c r="G150" s="5279" t="s">
        <v>28</v>
      </c>
      <c r="H150" s="5279" t="s">
        <v>28</v>
      </c>
      <c r="I150" s="5279" t="s">
        <v>984</v>
      </c>
    </row>
    <row customHeight="1" ht="11.25">
      <c r="A151" s="5279" t="s">
        <v>2344</v>
      </c>
      <c r="B151" s="5279" t="s">
        <v>16</v>
      </c>
      <c r="C151" s="5279" t="s">
        <v>2557</v>
      </c>
      <c r="D151" s="5279" t="s">
        <v>2558</v>
      </c>
      <c r="E151" s="5279" t="s">
        <v>2442</v>
      </c>
      <c r="F151" s="5279" t="s">
        <v>2559</v>
      </c>
      <c r="G151" s="5279" t="s">
        <v>28</v>
      </c>
      <c r="H151" s="5279" t="s">
        <v>28</v>
      </c>
      <c r="I151" s="5279" t="s">
        <v>984</v>
      </c>
    </row>
    <row customHeight="1" ht="11.25">
      <c r="A152" s="5279" t="s">
        <v>2344</v>
      </c>
      <c r="B152" s="5279" t="s">
        <v>16</v>
      </c>
      <c r="C152" s="5279" t="s">
        <v>2605</v>
      </c>
      <c r="D152" s="5279" t="s">
        <v>2606</v>
      </c>
      <c r="E152" s="5279" t="s">
        <v>2607</v>
      </c>
      <c r="F152" s="5279" t="s">
        <v>2608</v>
      </c>
      <c r="G152" s="5279" t="s">
        <v>2609</v>
      </c>
      <c r="H152" s="5279" t="s">
        <v>28</v>
      </c>
      <c r="I152" s="5279" t="s">
        <v>984</v>
      </c>
    </row>
    <row customHeight="1" ht="11.25">
      <c r="A153" s="5279" t="s">
        <v>2344</v>
      </c>
      <c r="B153" s="5279" t="s">
        <v>16</v>
      </c>
      <c r="C153" s="5279" t="s">
        <v>2616</v>
      </c>
      <c r="D153" s="5279" t="s">
        <v>2617</v>
      </c>
      <c r="E153" s="5279" t="s">
        <v>2618</v>
      </c>
      <c r="F153" s="5279" t="s">
        <v>2619</v>
      </c>
      <c r="G153" s="5279" t="s">
        <v>28</v>
      </c>
      <c r="H153" s="5279" t="s">
        <v>28</v>
      </c>
      <c r="I153" s="5279" t="s">
        <v>984</v>
      </c>
    </row>
    <row customHeight="1" ht="11.25">
      <c r="A154" s="5279" t="s">
        <v>2344</v>
      </c>
      <c r="B154" s="5279" t="s">
        <v>16</v>
      </c>
      <c r="C154" s="5279" t="s">
        <v>2663</v>
      </c>
      <c r="D154" s="5279" t="s">
        <v>2664</v>
      </c>
      <c r="E154" s="5279" t="s">
        <v>2665</v>
      </c>
      <c r="F154" s="5279" t="s">
        <v>2666</v>
      </c>
      <c r="G154" s="5279" t="s">
        <v>28</v>
      </c>
      <c r="H154" s="5279" t="s">
        <v>28</v>
      </c>
      <c r="I154" s="5279" t="s">
        <v>984</v>
      </c>
    </row>
    <row customHeight="1" ht="11.25">
      <c r="A155" s="5279" t="s">
        <v>2344</v>
      </c>
      <c r="B155" s="5279" t="s">
        <v>16</v>
      </c>
      <c r="C155" s="5279" t="s">
        <v>2714</v>
      </c>
      <c r="D155" s="5279" t="s">
        <v>2715</v>
      </c>
      <c r="E155" s="5279" t="s">
        <v>2716</v>
      </c>
      <c r="F155" s="5279" t="s">
        <v>2347</v>
      </c>
      <c r="G155" s="5279" t="s">
        <v>28</v>
      </c>
      <c r="H155" s="5279" t="s">
        <v>28</v>
      </c>
      <c r="I155" s="5279" t="s">
        <v>984</v>
      </c>
    </row>
    <row customHeight="1" ht="11.25">
      <c r="A156" s="5279" t="s">
        <v>2344</v>
      </c>
      <c r="B156" s="5279" t="s">
        <v>16</v>
      </c>
      <c r="C156" s="5279" t="s">
        <v>2720</v>
      </c>
      <c r="D156" s="5279" t="s">
        <v>2721</v>
      </c>
      <c r="E156" s="5279" t="s">
        <v>2722</v>
      </c>
      <c r="F156" s="5279" t="s">
        <v>2547</v>
      </c>
      <c r="G156" s="5279" t="s">
        <v>28</v>
      </c>
      <c r="H156" s="5279" t="s">
        <v>28</v>
      </c>
      <c r="I156" s="5279" t="s">
        <v>984</v>
      </c>
    </row>
    <row customHeight="1" ht="11.25">
      <c r="A157" s="5279" t="s">
        <v>2344</v>
      </c>
      <c r="B157" s="5279" t="s">
        <v>16</v>
      </c>
      <c r="C157" s="5279" t="s">
        <v>2723</v>
      </c>
      <c r="D157" s="5279" t="s">
        <v>2724</v>
      </c>
      <c r="E157" s="5279" t="s">
        <v>2725</v>
      </c>
      <c r="F157" s="5279" t="s">
        <v>2726</v>
      </c>
      <c r="G157" s="5279" t="s">
        <v>2727</v>
      </c>
      <c r="H157" s="5279" t="s">
        <v>28</v>
      </c>
      <c r="I157" s="5279" t="s">
        <v>984</v>
      </c>
    </row>
    <row customHeight="1" ht="11.25">
      <c r="A158" s="5279" t="s">
        <v>2344</v>
      </c>
      <c r="B158" s="5279" t="s">
        <v>16</v>
      </c>
      <c r="C158" s="5279" t="s">
        <v>2759</v>
      </c>
      <c r="D158" s="5279" t="s">
        <v>2760</v>
      </c>
      <c r="E158" s="5279" t="s">
        <v>2761</v>
      </c>
      <c r="F158" s="5279" t="s">
        <v>2547</v>
      </c>
      <c r="G158" s="5279" t="s">
        <v>28</v>
      </c>
      <c r="H158" s="5279" t="s">
        <v>28</v>
      </c>
      <c r="I158" s="5279" t="s">
        <v>984</v>
      </c>
    </row>
    <row customHeight="1" ht="11.25">
      <c r="A159" s="5279" t="s">
        <v>2344</v>
      </c>
      <c r="B159" s="5279" t="s">
        <v>16</v>
      </c>
      <c r="C159" s="5279" t="s">
        <v>2770</v>
      </c>
      <c r="D159" s="5279" t="s">
        <v>2771</v>
      </c>
      <c r="E159" s="5279" t="s">
        <v>2772</v>
      </c>
      <c r="F159" s="5279" t="s">
        <v>2376</v>
      </c>
      <c r="G159" s="5279" t="s">
        <v>28</v>
      </c>
      <c r="H159" s="5279" t="s">
        <v>28</v>
      </c>
      <c r="I159" s="5279" t="s">
        <v>984</v>
      </c>
    </row>
    <row customHeight="1" ht="11.25">
      <c r="A160" s="5279" t="s">
        <v>2344</v>
      </c>
      <c r="B160" s="5279" t="s">
        <v>16</v>
      </c>
      <c r="C160" s="5279" t="s">
        <v>28</v>
      </c>
      <c r="D160" s="5279" t="s">
        <v>2345</v>
      </c>
      <c r="E160" s="5279" t="s">
        <v>2346</v>
      </c>
      <c r="F160" s="5279" t="s">
        <v>2347</v>
      </c>
      <c r="G160" s="5279" t="s">
        <v>28</v>
      </c>
      <c r="H160" s="5279" t="s">
        <v>28</v>
      </c>
      <c r="I160" s="5279" t="s">
        <v>944</v>
      </c>
    </row>
    <row customHeight="1" ht="11.25">
      <c r="A161" s="5279" t="s">
        <v>2344</v>
      </c>
      <c r="B161" s="5279" t="s">
        <v>16</v>
      </c>
      <c r="C161" s="5279" t="s">
        <v>2348</v>
      </c>
      <c r="D161" s="5279" t="s">
        <v>2349</v>
      </c>
      <c r="E161" s="5279" t="s">
        <v>2350</v>
      </c>
      <c r="F161" s="5279" t="s">
        <v>2351</v>
      </c>
      <c r="G161" s="5279" t="s">
        <v>28</v>
      </c>
      <c r="H161" s="5279" t="s">
        <v>28</v>
      </c>
      <c r="I161" s="5279" t="s">
        <v>944</v>
      </c>
    </row>
    <row customHeight="1" ht="11.25">
      <c r="A162" s="5279" t="s">
        <v>2344</v>
      </c>
      <c r="B162" s="5279" t="s">
        <v>16</v>
      </c>
      <c r="C162" s="5279" t="s">
        <v>2356</v>
      </c>
      <c r="D162" s="5279" t="s">
        <v>2357</v>
      </c>
      <c r="E162" s="5279" t="s">
        <v>2358</v>
      </c>
      <c r="F162" s="5279" t="s">
        <v>2359</v>
      </c>
      <c r="G162" s="5279" t="s">
        <v>28</v>
      </c>
      <c r="H162" s="5279" t="s">
        <v>28</v>
      </c>
      <c r="I162" s="5279" t="s">
        <v>944</v>
      </c>
    </row>
    <row customHeight="1" ht="11.25">
      <c r="A163" s="5279" t="s">
        <v>2344</v>
      </c>
      <c r="B163" s="5279" t="s">
        <v>16</v>
      </c>
      <c r="C163" s="5279" t="s">
        <v>2360</v>
      </c>
      <c r="D163" s="5279" t="s">
        <v>2361</v>
      </c>
      <c r="E163" s="5279" t="s">
        <v>2362</v>
      </c>
      <c r="F163" s="5279" t="s">
        <v>2363</v>
      </c>
      <c r="G163" s="5279" t="s">
        <v>28</v>
      </c>
      <c r="H163" s="5279" t="s">
        <v>28</v>
      </c>
      <c r="I163" s="5279" t="s">
        <v>944</v>
      </c>
    </row>
    <row customHeight="1" ht="11.25">
      <c r="A164" s="5279" t="s">
        <v>2344</v>
      </c>
      <c r="B164" s="5279" t="s">
        <v>16</v>
      </c>
      <c r="C164" s="5279" t="s">
        <v>2364</v>
      </c>
      <c r="D164" s="5279" t="s">
        <v>2361</v>
      </c>
      <c r="E164" s="5279" t="s">
        <v>2362</v>
      </c>
      <c r="F164" s="5279" t="s">
        <v>2365</v>
      </c>
      <c r="G164" s="5279" t="s">
        <v>2366</v>
      </c>
      <c r="H164" s="5279" t="s">
        <v>28</v>
      </c>
      <c r="I164" s="5279" t="s">
        <v>944</v>
      </c>
    </row>
    <row customHeight="1" ht="11.25">
      <c r="A165" s="5279" t="s">
        <v>2344</v>
      </c>
      <c r="B165" s="5279" t="s">
        <v>16</v>
      </c>
      <c r="C165" s="5279" t="s">
        <v>2370</v>
      </c>
      <c r="D165" s="5279" t="s">
        <v>2371</v>
      </c>
      <c r="E165" s="5279" t="s">
        <v>2362</v>
      </c>
      <c r="F165" s="5279" t="s">
        <v>2372</v>
      </c>
      <c r="G165" s="5279" t="s">
        <v>28</v>
      </c>
      <c r="H165" s="5279" t="s">
        <v>28</v>
      </c>
      <c r="I165" s="5279" t="s">
        <v>944</v>
      </c>
    </row>
    <row customHeight="1" ht="11.25">
      <c r="A166" s="5279" t="s">
        <v>2344</v>
      </c>
      <c r="B166" s="5279" t="s">
        <v>16</v>
      </c>
      <c r="C166" s="5279" t="s">
        <v>2373</v>
      </c>
      <c r="D166" s="5279" t="s">
        <v>2374</v>
      </c>
      <c r="E166" s="5279" t="s">
        <v>2375</v>
      </c>
      <c r="F166" s="5279" t="s">
        <v>2376</v>
      </c>
      <c r="G166" s="5279" t="s">
        <v>28</v>
      </c>
      <c r="H166" s="5279" t="s">
        <v>28</v>
      </c>
      <c r="I166" s="5279" t="s">
        <v>944</v>
      </c>
    </row>
    <row customHeight="1" ht="11.25">
      <c r="A167" s="5279" t="s">
        <v>2344</v>
      </c>
      <c r="B167" s="5279" t="s">
        <v>16</v>
      </c>
      <c r="C167" s="5279" t="s">
        <v>2381</v>
      </c>
      <c r="D167" s="5279" t="s">
        <v>2382</v>
      </c>
      <c r="E167" s="5279" t="s">
        <v>2383</v>
      </c>
      <c r="F167" s="5279" t="s">
        <v>2384</v>
      </c>
      <c r="G167" s="5279" t="s">
        <v>28</v>
      </c>
      <c r="H167" s="5279" t="s">
        <v>28</v>
      </c>
      <c r="I167" s="5279" t="s">
        <v>944</v>
      </c>
    </row>
    <row customHeight="1" ht="11.25">
      <c r="A168" s="5279" t="s">
        <v>2344</v>
      </c>
      <c r="B168" s="5279" t="s">
        <v>16</v>
      </c>
      <c r="C168" s="5279" t="s">
        <v>2795</v>
      </c>
      <c r="D168" s="5279" t="s">
        <v>2796</v>
      </c>
      <c r="E168" s="5279" t="s">
        <v>2797</v>
      </c>
      <c r="F168" s="5279" t="s">
        <v>2591</v>
      </c>
      <c r="G168" s="5279" t="s">
        <v>2798</v>
      </c>
      <c r="H168" s="5279" t="s">
        <v>28</v>
      </c>
      <c r="I168" s="5279" t="s">
        <v>944</v>
      </c>
    </row>
    <row customHeight="1" ht="11.25">
      <c r="A169" s="5279" t="s">
        <v>2344</v>
      </c>
      <c r="B169" s="5279" t="s">
        <v>16</v>
      </c>
      <c r="C169" s="5279" t="s">
        <v>2390</v>
      </c>
      <c r="D169" s="5279" t="s">
        <v>2391</v>
      </c>
      <c r="E169" s="5279" t="s">
        <v>2392</v>
      </c>
      <c r="F169" s="5279" t="s">
        <v>2355</v>
      </c>
      <c r="G169" s="5279" t="s">
        <v>28</v>
      </c>
      <c r="H169" s="5279" t="s">
        <v>28</v>
      </c>
      <c r="I169" s="5279" t="s">
        <v>944</v>
      </c>
    </row>
    <row customHeight="1" ht="11.25">
      <c r="A170" s="5279" t="s">
        <v>2344</v>
      </c>
      <c r="B170" s="5279" t="s">
        <v>16</v>
      </c>
      <c r="C170" s="5279" t="s">
        <v>2799</v>
      </c>
      <c r="D170" s="5279" t="s">
        <v>2800</v>
      </c>
      <c r="E170" s="5279" t="s">
        <v>2801</v>
      </c>
      <c r="F170" s="5279" t="s">
        <v>2376</v>
      </c>
      <c r="G170" s="5279" t="s">
        <v>2802</v>
      </c>
      <c r="H170" s="5279" t="s">
        <v>28</v>
      </c>
      <c r="I170" s="5279" t="s">
        <v>944</v>
      </c>
    </row>
    <row customHeight="1" ht="11.25">
      <c r="A171" s="5279" t="s">
        <v>2344</v>
      </c>
      <c r="B171" s="5279" t="s">
        <v>16</v>
      </c>
      <c r="C171" s="5279" t="s">
        <v>2402</v>
      </c>
      <c r="D171" s="5279" t="s">
        <v>2403</v>
      </c>
      <c r="E171" s="5279" t="s">
        <v>2404</v>
      </c>
      <c r="F171" s="5279" t="s">
        <v>2405</v>
      </c>
      <c r="G171" s="5279" t="s">
        <v>2406</v>
      </c>
      <c r="H171" s="5279" t="s">
        <v>28</v>
      </c>
      <c r="I171" s="5279" t="s">
        <v>944</v>
      </c>
    </row>
    <row customHeight="1" ht="11.25">
      <c r="A172" s="5279" t="s">
        <v>2344</v>
      </c>
      <c r="B172" s="5279" t="s">
        <v>16</v>
      </c>
      <c r="C172" s="5279" t="s">
        <v>2803</v>
      </c>
      <c r="D172" s="5279" t="s">
        <v>2804</v>
      </c>
      <c r="E172" s="5279" t="s">
        <v>2805</v>
      </c>
      <c r="F172" s="5279" t="s">
        <v>2355</v>
      </c>
      <c r="G172" s="5279" t="s">
        <v>28</v>
      </c>
      <c r="H172" s="5279" t="s">
        <v>28</v>
      </c>
      <c r="I172" s="5279" t="s">
        <v>944</v>
      </c>
    </row>
    <row customHeight="1" ht="11.25">
      <c r="A173" s="5279" t="s">
        <v>2344</v>
      </c>
      <c r="B173" s="5279" t="s">
        <v>16</v>
      </c>
      <c r="C173" s="5279" t="s">
        <v>2410</v>
      </c>
      <c r="D173" s="5279" t="s">
        <v>2411</v>
      </c>
      <c r="E173" s="5279" t="s">
        <v>2412</v>
      </c>
      <c r="F173" s="5279" t="s">
        <v>2413</v>
      </c>
      <c r="G173" s="5279" t="s">
        <v>28</v>
      </c>
      <c r="H173" s="5279" t="s">
        <v>28</v>
      </c>
      <c r="I173" s="5279" t="s">
        <v>944</v>
      </c>
    </row>
    <row customHeight="1" ht="11.25">
      <c r="A174" s="5279" t="s">
        <v>2344</v>
      </c>
      <c r="B174" s="5279" t="s">
        <v>16</v>
      </c>
      <c r="C174" s="5279" t="s">
        <v>2806</v>
      </c>
      <c r="D174" s="5279" t="s">
        <v>2807</v>
      </c>
      <c r="E174" s="5279" t="s">
        <v>2808</v>
      </c>
      <c r="F174" s="5279" t="s">
        <v>2769</v>
      </c>
      <c r="G174" s="5279" t="s">
        <v>2809</v>
      </c>
      <c r="H174" s="5279" t="s">
        <v>28</v>
      </c>
      <c r="I174" s="5279" t="s">
        <v>944</v>
      </c>
    </row>
    <row customHeight="1" ht="11.25">
      <c r="A175" s="5279" t="s">
        <v>2344</v>
      </c>
      <c r="B175" s="5279" t="s">
        <v>16</v>
      </c>
      <c r="C175" s="5279" t="s">
        <v>2422</v>
      </c>
      <c r="D175" s="5279" t="s">
        <v>2423</v>
      </c>
      <c r="E175" s="5279" t="s">
        <v>2424</v>
      </c>
      <c r="F175" s="5279" t="s">
        <v>2347</v>
      </c>
      <c r="G175" s="5279" t="s">
        <v>2425</v>
      </c>
      <c r="H175" s="5279" t="s">
        <v>28</v>
      </c>
      <c r="I175" s="5279" t="s">
        <v>944</v>
      </c>
    </row>
    <row customHeight="1" ht="11.25">
      <c r="A176" s="5279" t="s">
        <v>2344</v>
      </c>
      <c r="B176" s="5279" t="s">
        <v>16</v>
      </c>
      <c r="C176" s="5279" t="s">
        <v>2810</v>
      </c>
      <c r="D176" s="5279" t="s">
        <v>2811</v>
      </c>
      <c r="E176" s="5279" t="s">
        <v>2812</v>
      </c>
      <c r="F176" s="5279" t="s">
        <v>2813</v>
      </c>
      <c r="G176" s="5279" t="s">
        <v>28</v>
      </c>
      <c r="H176" s="5279" t="s">
        <v>28</v>
      </c>
      <c r="I176" s="5279" t="s">
        <v>944</v>
      </c>
    </row>
    <row customHeight="1" ht="11.25">
      <c r="A177" s="5279" t="s">
        <v>2344</v>
      </c>
      <c r="B177" s="5279" t="s">
        <v>16</v>
      </c>
      <c r="C177" s="5279" t="s">
        <v>2444</v>
      </c>
      <c r="D177" s="5279" t="s">
        <v>2445</v>
      </c>
      <c r="E177" s="5279" t="s">
        <v>2442</v>
      </c>
      <c r="F177" s="5279" t="s">
        <v>2446</v>
      </c>
      <c r="G177" s="5279" t="s">
        <v>28</v>
      </c>
      <c r="H177" s="5279" t="s">
        <v>28</v>
      </c>
      <c r="I177" s="5279" t="s">
        <v>944</v>
      </c>
    </row>
    <row customHeight="1" ht="11.25">
      <c r="A178" s="5279" t="s">
        <v>2344</v>
      </c>
      <c r="B178" s="5279" t="s">
        <v>16</v>
      </c>
      <c r="C178" s="5279" t="s">
        <v>2814</v>
      </c>
      <c r="D178" s="5279" t="s">
        <v>2815</v>
      </c>
      <c r="E178" s="5279" t="s">
        <v>2816</v>
      </c>
      <c r="F178" s="5279" t="s">
        <v>2479</v>
      </c>
      <c r="G178" s="5279" t="s">
        <v>28</v>
      </c>
      <c r="H178" s="5279" t="s">
        <v>28</v>
      </c>
      <c r="I178" s="5279" t="s">
        <v>944</v>
      </c>
    </row>
    <row customHeight="1" ht="11.25">
      <c r="A179" s="5279" t="s">
        <v>2344</v>
      </c>
      <c r="B179" s="5279" t="s">
        <v>16</v>
      </c>
      <c r="C179" s="5279" t="s">
        <v>2455</v>
      </c>
      <c r="D179" s="5279" t="s">
        <v>2456</v>
      </c>
      <c r="E179" s="5279" t="s">
        <v>2457</v>
      </c>
      <c r="F179" s="5279" t="s">
        <v>2396</v>
      </c>
      <c r="G179" s="5279" t="s">
        <v>28</v>
      </c>
      <c r="H179" s="5279" t="s">
        <v>28</v>
      </c>
      <c r="I179" s="5279" t="s">
        <v>944</v>
      </c>
    </row>
    <row customHeight="1" ht="11.25">
      <c r="A180" s="5279" t="s">
        <v>2344</v>
      </c>
      <c r="B180" s="5279" t="s">
        <v>16</v>
      </c>
      <c r="C180" s="5279" t="s">
        <v>2817</v>
      </c>
      <c r="D180" s="5279" t="s">
        <v>2818</v>
      </c>
      <c r="E180" s="5279" t="s">
        <v>2819</v>
      </c>
      <c r="F180" s="5279" t="s">
        <v>666</v>
      </c>
      <c r="G180" s="5279" t="s">
        <v>28</v>
      </c>
      <c r="H180" s="5279" t="s">
        <v>28</v>
      </c>
      <c r="I180" s="5279" t="s">
        <v>944</v>
      </c>
    </row>
    <row customHeight="1" ht="11.25">
      <c r="A181" s="5279" t="s">
        <v>2344</v>
      </c>
      <c r="B181" s="5279" t="s">
        <v>16</v>
      </c>
      <c r="C181" s="5279" t="s">
        <v>2820</v>
      </c>
      <c r="D181" s="5279" t="s">
        <v>2821</v>
      </c>
      <c r="E181" s="5279" t="s">
        <v>2822</v>
      </c>
      <c r="F181" s="5279" t="s">
        <v>666</v>
      </c>
      <c r="G181" s="5279" t="s">
        <v>28</v>
      </c>
      <c r="H181" s="5279" t="s">
        <v>28</v>
      </c>
      <c r="I181" s="5279" t="s">
        <v>944</v>
      </c>
    </row>
    <row customHeight="1" ht="11.25">
      <c r="A182" s="5279" t="s">
        <v>2344</v>
      </c>
      <c r="B182" s="5279" t="s">
        <v>16</v>
      </c>
      <c r="C182" s="5279" t="s">
        <v>2823</v>
      </c>
      <c r="D182" s="5279" t="s">
        <v>2824</v>
      </c>
      <c r="E182" s="5279" t="s">
        <v>2825</v>
      </c>
      <c r="F182" s="5279" t="s">
        <v>666</v>
      </c>
      <c r="G182" s="5279" t="s">
        <v>28</v>
      </c>
      <c r="H182" s="5279" t="s">
        <v>28</v>
      </c>
      <c r="I182" s="5279" t="s">
        <v>944</v>
      </c>
    </row>
    <row customHeight="1" ht="11.25">
      <c r="A183" s="5279" t="s">
        <v>2344</v>
      </c>
      <c r="B183" s="5279" t="s">
        <v>16</v>
      </c>
      <c r="C183" s="5279" t="s">
        <v>2480</v>
      </c>
      <c r="D183" s="5279" t="s">
        <v>2481</v>
      </c>
      <c r="E183" s="5279" t="s">
        <v>2482</v>
      </c>
      <c r="F183" s="5279" t="s">
        <v>2450</v>
      </c>
      <c r="G183" s="5279" t="s">
        <v>28</v>
      </c>
      <c r="H183" s="5279" t="s">
        <v>28</v>
      </c>
      <c r="I183" s="5279" t="s">
        <v>944</v>
      </c>
    </row>
    <row customHeight="1" ht="11.25">
      <c r="A184" s="5279" t="s">
        <v>2344</v>
      </c>
      <c r="B184" s="5279" t="s">
        <v>16</v>
      </c>
      <c r="C184" s="5279" t="s">
        <v>13</v>
      </c>
      <c r="D184" s="5279" t="s">
        <v>47</v>
      </c>
      <c r="E184" s="5279" t="s">
        <v>50</v>
      </c>
      <c r="F184" s="5279" t="s">
        <v>52</v>
      </c>
      <c r="G184" s="5279" t="s">
        <v>28</v>
      </c>
      <c r="H184" s="5279" t="s">
        <v>28</v>
      </c>
      <c r="I184" s="5279" t="s">
        <v>944</v>
      </c>
    </row>
    <row customHeight="1" ht="11.25">
      <c r="A185" s="5279" t="s">
        <v>2344</v>
      </c>
      <c r="B185" s="5279" t="s">
        <v>16</v>
      </c>
      <c r="C185" s="5279" t="s">
        <v>2776</v>
      </c>
      <c r="D185" s="5279" t="s">
        <v>47</v>
      </c>
      <c r="E185" s="5279" t="s">
        <v>50</v>
      </c>
      <c r="F185" s="5279" t="s">
        <v>2777</v>
      </c>
      <c r="G185" s="5279" t="s">
        <v>28</v>
      </c>
      <c r="H185" s="5279" t="s">
        <v>28</v>
      </c>
      <c r="I185" s="5279" t="s">
        <v>944</v>
      </c>
    </row>
    <row customHeight="1" ht="11.25">
      <c r="A186" s="5279" t="s">
        <v>2344</v>
      </c>
      <c r="B186" s="5279" t="s">
        <v>16</v>
      </c>
      <c r="C186" s="5279" t="s">
        <v>2778</v>
      </c>
      <c r="D186" s="5279" t="s">
        <v>47</v>
      </c>
      <c r="E186" s="5279" t="s">
        <v>50</v>
      </c>
      <c r="F186" s="5279" t="s">
        <v>2779</v>
      </c>
      <c r="G186" s="5279" t="s">
        <v>28</v>
      </c>
      <c r="H186" s="5279" t="s">
        <v>28</v>
      </c>
      <c r="I186" s="5279" t="s">
        <v>944</v>
      </c>
    </row>
    <row customHeight="1" ht="11.25">
      <c r="A187" s="5279" t="s">
        <v>2344</v>
      </c>
      <c r="B187" s="5279" t="s">
        <v>16</v>
      </c>
      <c r="C187" s="5279" t="s">
        <v>2780</v>
      </c>
      <c r="D187" s="5279" t="s">
        <v>47</v>
      </c>
      <c r="E187" s="5279" t="s">
        <v>50</v>
      </c>
      <c r="F187" s="5279" t="s">
        <v>2781</v>
      </c>
      <c r="G187" s="5279" t="s">
        <v>28</v>
      </c>
      <c r="H187" s="5279" t="s">
        <v>28</v>
      </c>
      <c r="I187" s="5279" t="s">
        <v>944</v>
      </c>
    </row>
    <row customHeight="1" ht="11.25">
      <c r="A188" s="5279" t="s">
        <v>2344</v>
      </c>
      <c r="B188" s="5279" t="s">
        <v>16</v>
      </c>
      <c r="C188" s="5279" t="s">
        <v>2826</v>
      </c>
      <c r="D188" s="5279" t="s">
        <v>47</v>
      </c>
      <c r="E188" s="5279" t="s">
        <v>50</v>
      </c>
      <c r="F188" s="5279" t="s">
        <v>2827</v>
      </c>
      <c r="G188" s="5279" t="s">
        <v>28</v>
      </c>
      <c r="H188" s="5279" t="s">
        <v>28</v>
      </c>
      <c r="I188" s="5279" t="s">
        <v>944</v>
      </c>
    </row>
    <row customHeight="1" ht="11.25">
      <c r="A189" s="5279" t="s">
        <v>2344</v>
      </c>
      <c r="B189" s="5279" t="s">
        <v>16</v>
      </c>
      <c r="C189" s="5279" t="s">
        <v>2782</v>
      </c>
      <c r="D189" s="5279" t="s">
        <v>47</v>
      </c>
      <c r="E189" s="5279" t="s">
        <v>50</v>
      </c>
      <c r="F189" s="5279" t="s">
        <v>2783</v>
      </c>
      <c r="G189" s="5279" t="s">
        <v>28</v>
      </c>
      <c r="H189" s="5279" t="s">
        <v>28</v>
      </c>
      <c r="I189" s="5279" t="s">
        <v>944</v>
      </c>
    </row>
    <row customHeight="1" ht="11.25">
      <c r="A190" s="5279" t="s">
        <v>2344</v>
      </c>
      <c r="B190" s="5279" t="s">
        <v>16</v>
      </c>
      <c r="C190" s="5279" t="s">
        <v>2784</v>
      </c>
      <c r="D190" s="5279" t="s">
        <v>47</v>
      </c>
      <c r="E190" s="5279" t="s">
        <v>50</v>
      </c>
      <c r="F190" s="5279" t="s">
        <v>2785</v>
      </c>
      <c r="G190" s="5279" t="s">
        <v>28</v>
      </c>
      <c r="H190" s="5279" t="s">
        <v>28</v>
      </c>
      <c r="I190" s="5279" t="s">
        <v>944</v>
      </c>
    </row>
    <row customHeight="1" ht="11.25">
      <c r="A191" s="5279" t="s">
        <v>2344</v>
      </c>
      <c r="B191" s="5279" t="s">
        <v>16</v>
      </c>
      <c r="C191" s="5279" t="s">
        <v>2786</v>
      </c>
      <c r="D191" s="5279" t="s">
        <v>47</v>
      </c>
      <c r="E191" s="5279" t="s">
        <v>50</v>
      </c>
      <c r="F191" s="5279" t="s">
        <v>2787</v>
      </c>
      <c r="G191" s="5279" t="s">
        <v>28</v>
      </c>
      <c r="H191" s="5279" t="s">
        <v>28</v>
      </c>
      <c r="I191" s="5279" t="s">
        <v>944</v>
      </c>
    </row>
    <row customHeight="1" ht="11.25">
      <c r="A192" s="5279" t="s">
        <v>2344</v>
      </c>
      <c r="B192" s="5279" t="s">
        <v>16</v>
      </c>
      <c r="C192" s="5279" t="s">
        <v>2788</v>
      </c>
      <c r="D192" s="5279" t="s">
        <v>47</v>
      </c>
      <c r="E192" s="5279" t="s">
        <v>50</v>
      </c>
      <c r="F192" s="5279" t="s">
        <v>2789</v>
      </c>
      <c r="G192" s="5279" t="s">
        <v>28</v>
      </c>
      <c r="H192" s="5279" t="s">
        <v>28</v>
      </c>
      <c r="I192" s="5279" t="s">
        <v>944</v>
      </c>
    </row>
    <row customHeight="1" ht="11.25">
      <c r="A193" s="5279" t="s">
        <v>2344</v>
      </c>
      <c r="B193" s="5279" t="s">
        <v>16</v>
      </c>
      <c r="C193" s="5279" t="s">
        <v>2790</v>
      </c>
      <c r="D193" s="5279" t="s">
        <v>47</v>
      </c>
      <c r="E193" s="5279" t="s">
        <v>50</v>
      </c>
      <c r="F193" s="5279" t="s">
        <v>2791</v>
      </c>
      <c r="G193" s="5279" t="s">
        <v>28</v>
      </c>
      <c r="H193" s="5279" t="s">
        <v>28</v>
      </c>
      <c r="I193" s="5279" t="s">
        <v>944</v>
      </c>
    </row>
    <row customHeight="1" ht="11.25">
      <c r="A194" s="5279" t="s">
        <v>2344</v>
      </c>
      <c r="B194" s="5279" t="s">
        <v>16</v>
      </c>
      <c r="C194" s="5279" t="s">
        <v>2490</v>
      </c>
      <c r="D194" s="5279" t="s">
        <v>47</v>
      </c>
      <c r="E194" s="5279" t="s">
        <v>50</v>
      </c>
      <c r="F194" s="5279" t="s">
        <v>2489</v>
      </c>
      <c r="G194" s="5279" t="s">
        <v>28</v>
      </c>
      <c r="H194" s="5279" t="s">
        <v>28</v>
      </c>
      <c r="I194" s="5279" t="s">
        <v>944</v>
      </c>
    </row>
    <row customHeight="1" ht="11.25">
      <c r="A195" s="5279" t="s">
        <v>2344</v>
      </c>
      <c r="B195" s="5279" t="s">
        <v>16</v>
      </c>
      <c r="C195" s="5279" t="s">
        <v>2828</v>
      </c>
      <c r="D195" s="5279" t="s">
        <v>2829</v>
      </c>
      <c r="E195" s="5279" t="s">
        <v>2830</v>
      </c>
      <c r="F195" s="5279" t="s">
        <v>2376</v>
      </c>
      <c r="G195" s="5279" t="s">
        <v>28</v>
      </c>
      <c r="H195" s="5279" t="s">
        <v>28</v>
      </c>
      <c r="I195" s="5279" t="s">
        <v>944</v>
      </c>
    </row>
    <row customHeight="1" ht="11.25">
      <c r="A196" s="5279" t="s">
        <v>2344</v>
      </c>
      <c r="B196" s="5279" t="s">
        <v>16</v>
      </c>
      <c r="C196" s="5279" t="s">
        <v>2831</v>
      </c>
      <c r="D196" s="5279" t="s">
        <v>2829</v>
      </c>
      <c r="E196" s="5279" t="s">
        <v>2830</v>
      </c>
      <c r="F196" s="5279" t="s">
        <v>2832</v>
      </c>
      <c r="G196" s="5279" t="s">
        <v>28</v>
      </c>
      <c r="H196" s="5279" t="s">
        <v>28</v>
      </c>
      <c r="I196" s="5279" t="s">
        <v>944</v>
      </c>
    </row>
    <row customHeight="1" ht="11.25">
      <c r="A197" s="5279" t="s">
        <v>2344</v>
      </c>
      <c r="B197" s="5279" t="s">
        <v>16</v>
      </c>
      <c r="C197" s="5279" t="s">
        <v>2833</v>
      </c>
      <c r="D197" s="5279" t="s">
        <v>2793</v>
      </c>
      <c r="E197" s="5279" t="s">
        <v>50</v>
      </c>
      <c r="F197" s="5279" t="s">
        <v>2834</v>
      </c>
      <c r="G197" s="5279" t="s">
        <v>28</v>
      </c>
      <c r="H197" s="5279" t="s">
        <v>28</v>
      </c>
      <c r="I197" s="5279" t="s">
        <v>944</v>
      </c>
    </row>
    <row customHeight="1" ht="11.25">
      <c r="A198" s="5279" t="s">
        <v>2344</v>
      </c>
      <c r="B198" s="5279" t="s">
        <v>16</v>
      </c>
      <c r="C198" s="5279" t="s">
        <v>2792</v>
      </c>
      <c r="D198" s="5279" t="s">
        <v>2793</v>
      </c>
      <c r="E198" s="5279" t="s">
        <v>50</v>
      </c>
      <c r="F198" s="5279" t="s">
        <v>2794</v>
      </c>
      <c r="G198" s="5279" t="s">
        <v>28</v>
      </c>
      <c r="H198" s="5279" t="s">
        <v>28</v>
      </c>
      <c r="I198" s="5279" t="s">
        <v>944</v>
      </c>
    </row>
    <row customHeight="1" ht="11.25">
      <c r="A199" s="5279" t="s">
        <v>2344</v>
      </c>
      <c r="B199" s="5279" t="s">
        <v>16</v>
      </c>
      <c r="C199" s="5279" t="s">
        <v>2835</v>
      </c>
      <c r="D199" s="5279" t="s">
        <v>2836</v>
      </c>
      <c r="E199" s="5279" t="s">
        <v>2837</v>
      </c>
      <c r="F199" s="5279" t="s">
        <v>2384</v>
      </c>
      <c r="G199" s="5279" t="s">
        <v>28</v>
      </c>
      <c r="H199" s="5279" t="s">
        <v>28</v>
      </c>
      <c r="I199" s="5279" t="s">
        <v>944</v>
      </c>
    </row>
    <row customHeight="1" ht="11.25">
      <c r="A200" s="5279" t="s">
        <v>2344</v>
      </c>
      <c r="B200" s="5279" t="s">
        <v>16</v>
      </c>
      <c r="C200" s="5279" t="s">
        <v>2838</v>
      </c>
      <c r="D200" s="5279" t="s">
        <v>2839</v>
      </c>
      <c r="E200" s="5279" t="s">
        <v>2840</v>
      </c>
      <c r="F200" s="5279" t="s">
        <v>2578</v>
      </c>
      <c r="G200" s="5279" t="s">
        <v>28</v>
      </c>
      <c r="H200" s="5279" t="s">
        <v>28</v>
      </c>
      <c r="I200" s="5279" t="s">
        <v>944</v>
      </c>
    </row>
    <row customHeight="1" ht="11.25">
      <c r="A201" s="5279" t="s">
        <v>2344</v>
      </c>
      <c r="B201" s="5279" t="s">
        <v>16</v>
      </c>
      <c r="C201" s="5279" t="s">
        <v>2841</v>
      </c>
      <c r="D201" s="5279" t="s">
        <v>2842</v>
      </c>
      <c r="E201" s="5279" t="s">
        <v>2843</v>
      </c>
      <c r="F201" s="5279" t="s">
        <v>2687</v>
      </c>
      <c r="G201" s="5279" t="s">
        <v>28</v>
      </c>
      <c r="H201" s="5279" t="s">
        <v>28</v>
      </c>
      <c r="I201" s="5279" t="s">
        <v>944</v>
      </c>
    </row>
    <row customHeight="1" ht="11.25">
      <c r="A202" s="5279" t="s">
        <v>2344</v>
      </c>
      <c r="B202" s="5279" t="s">
        <v>16</v>
      </c>
      <c r="C202" s="5279" t="s">
        <v>2844</v>
      </c>
      <c r="D202" s="5279" t="s">
        <v>2845</v>
      </c>
      <c r="E202" s="5279" t="s">
        <v>2846</v>
      </c>
      <c r="F202" s="5279" t="s">
        <v>2405</v>
      </c>
      <c r="G202" s="5279" t="s">
        <v>28</v>
      </c>
      <c r="H202" s="5279" t="s">
        <v>28</v>
      </c>
      <c r="I202" s="5279" t="s">
        <v>944</v>
      </c>
    </row>
    <row customHeight="1" ht="11.25">
      <c r="A203" s="5279" t="s">
        <v>2344</v>
      </c>
      <c r="B203" s="5279" t="s">
        <v>16</v>
      </c>
      <c r="C203" s="5279" t="s">
        <v>2847</v>
      </c>
      <c r="D203" s="5279" t="s">
        <v>2848</v>
      </c>
      <c r="E203" s="5279" t="s">
        <v>2849</v>
      </c>
      <c r="F203" s="5279" t="s">
        <v>2498</v>
      </c>
      <c r="G203" s="5279" t="s">
        <v>28</v>
      </c>
      <c r="H203" s="5279" t="s">
        <v>28</v>
      </c>
      <c r="I203" s="5279" t="s">
        <v>944</v>
      </c>
    </row>
    <row customHeight="1" ht="11.25">
      <c r="A204" s="5279" t="s">
        <v>2344</v>
      </c>
      <c r="B204" s="5279" t="s">
        <v>16</v>
      </c>
      <c r="C204" s="5279" t="s">
        <v>2850</v>
      </c>
      <c r="D204" s="5279" t="s">
        <v>2851</v>
      </c>
      <c r="E204" s="5279" t="s">
        <v>2852</v>
      </c>
      <c r="F204" s="5279" t="s">
        <v>2853</v>
      </c>
      <c r="G204" s="5279" t="s">
        <v>28</v>
      </c>
      <c r="H204" s="5279" t="s">
        <v>28</v>
      </c>
      <c r="I204" s="5279" t="s">
        <v>944</v>
      </c>
    </row>
    <row customHeight="1" ht="11.25">
      <c r="A205" s="5279" t="s">
        <v>2344</v>
      </c>
      <c r="B205" s="5279" t="s">
        <v>16</v>
      </c>
      <c r="C205" s="5279" t="s">
        <v>2854</v>
      </c>
      <c r="D205" s="5279" t="s">
        <v>2855</v>
      </c>
      <c r="E205" s="5279" t="s">
        <v>2856</v>
      </c>
      <c r="F205" s="5279" t="s">
        <v>2405</v>
      </c>
      <c r="G205" s="5279" t="s">
        <v>28</v>
      </c>
      <c r="H205" s="5279" t="s">
        <v>28</v>
      </c>
      <c r="I205" s="5279" t="s">
        <v>944</v>
      </c>
    </row>
    <row customHeight="1" ht="11.25">
      <c r="A206" s="5279" t="s">
        <v>2344</v>
      </c>
      <c r="B206" s="5279" t="s">
        <v>16</v>
      </c>
      <c r="C206" s="5279" t="s">
        <v>2495</v>
      </c>
      <c r="D206" s="5279" t="s">
        <v>2496</v>
      </c>
      <c r="E206" s="5279" t="s">
        <v>2497</v>
      </c>
      <c r="F206" s="5279" t="s">
        <v>2498</v>
      </c>
      <c r="G206" s="5279" t="s">
        <v>28</v>
      </c>
      <c r="H206" s="5279" t="s">
        <v>28</v>
      </c>
      <c r="I206" s="5279" t="s">
        <v>944</v>
      </c>
    </row>
    <row customHeight="1" ht="11.25">
      <c r="A207" s="5279" t="s">
        <v>2344</v>
      </c>
      <c r="B207" s="5279" t="s">
        <v>16</v>
      </c>
      <c r="C207" s="5279" t="s">
        <v>2857</v>
      </c>
      <c r="D207" s="5279" t="s">
        <v>2858</v>
      </c>
      <c r="E207" s="5279" t="s">
        <v>2859</v>
      </c>
      <c r="F207" s="5279" t="s">
        <v>2516</v>
      </c>
      <c r="G207" s="5279" t="s">
        <v>2860</v>
      </c>
      <c r="H207" s="5279" t="s">
        <v>28</v>
      </c>
      <c r="I207" s="5279" t="s">
        <v>944</v>
      </c>
    </row>
    <row customHeight="1" ht="11.25">
      <c r="A208" s="5279" t="s">
        <v>2344</v>
      </c>
      <c r="B208" s="5279" t="s">
        <v>16</v>
      </c>
      <c r="C208" s="5279" t="s">
        <v>2861</v>
      </c>
      <c r="D208" s="5279" t="s">
        <v>2862</v>
      </c>
      <c r="E208" s="5279" t="s">
        <v>2863</v>
      </c>
      <c r="F208" s="5279" t="s">
        <v>2864</v>
      </c>
      <c r="G208" s="5279" t="s">
        <v>28</v>
      </c>
      <c r="H208" s="5279" t="s">
        <v>28</v>
      </c>
      <c r="I208" s="5279" t="s">
        <v>944</v>
      </c>
    </row>
    <row customHeight="1" ht="11.25">
      <c r="A209" s="5279" t="s">
        <v>2344</v>
      </c>
      <c r="B209" s="5279" t="s">
        <v>16</v>
      </c>
      <c r="C209" s="5279" t="s">
        <v>2865</v>
      </c>
      <c r="D209" s="5279" t="s">
        <v>2866</v>
      </c>
      <c r="E209" s="5279" t="s">
        <v>2867</v>
      </c>
      <c r="F209" s="5279" t="s">
        <v>2516</v>
      </c>
      <c r="G209" s="5279" t="s">
        <v>28</v>
      </c>
      <c r="H209" s="5279" t="s">
        <v>28</v>
      </c>
      <c r="I209" s="5279" t="s">
        <v>944</v>
      </c>
    </row>
    <row customHeight="1" ht="11.25">
      <c r="A210" s="5279" t="s">
        <v>2344</v>
      </c>
      <c r="B210" s="5279" t="s">
        <v>16</v>
      </c>
      <c r="C210" s="5279" t="s">
        <v>2868</v>
      </c>
      <c r="D210" s="5279" t="s">
        <v>2869</v>
      </c>
      <c r="E210" s="5279" t="s">
        <v>2870</v>
      </c>
      <c r="F210" s="5279" t="s">
        <v>2384</v>
      </c>
      <c r="G210" s="5279" t="s">
        <v>2871</v>
      </c>
      <c r="H210" s="5279" t="s">
        <v>28</v>
      </c>
      <c r="I210" s="5279" t="s">
        <v>944</v>
      </c>
    </row>
    <row customHeight="1" ht="11.25">
      <c r="A211" s="5279" t="s">
        <v>2344</v>
      </c>
      <c r="B211" s="5279" t="s">
        <v>16</v>
      </c>
      <c r="C211" s="5279" t="s">
        <v>2872</v>
      </c>
      <c r="D211" s="5279" t="s">
        <v>2873</v>
      </c>
      <c r="E211" s="5279" t="s">
        <v>2874</v>
      </c>
      <c r="F211" s="5279" t="s">
        <v>2384</v>
      </c>
      <c r="G211" s="5279" t="s">
        <v>2875</v>
      </c>
      <c r="H211" s="5279" t="s">
        <v>28</v>
      </c>
      <c r="I211" s="5279" t="s">
        <v>944</v>
      </c>
    </row>
    <row customHeight="1" ht="11.25">
      <c r="A212" s="5279" t="s">
        <v>2344</v>
      </c>
      <c r="B212" s="5279" t="s">
        <v>16</v>
      </c>
      <c r="C212" s="5279" t="s">
        <v>2502</v>
      </c>
      <c r="D212" s="5279" t="s">
        <v>2503</v>
      </c>
      <c r="E212" s="5279" t="s">
        <v>2504</v>
      </c>
      <c r="F212" s="5279" t="s">
        <v>2505</v>
      </c>
      <c r="G212" s="5279" t="s">
        <v>28</v>
      </c>
      <c r="H212" s="5279" t="s">
        <v>28</v>
      </c>
      <c r="I212" s="5279" t="s">
        <v>944</v>
      </c>
    </row>
    <row customHeight="1" ht="11.25">
      <c r="A213" s="5279" t="s">
        <v>2344</v>
      </c>
      <c r="B213" s="5279" t="s">
        <v>16</v>
      </c>
      <c r="C213" s="5279" t="s">
        <v>2506</v>
      </c>
      <c r="D213" s="5279" t="s">
        <v>2507</v>
      </c>
      <c r="E213" s="5279" t="s">
        <v>2508</v>
      </c>
      <c r="F213" s="5279" t="s">
        <v>2509</v>
      </c>
      <c r="G213" s="5279" t="s">
        <v>28</v>
      </c>
      <c r="H213" s="5279" t="s">
        <v>28</v>
      </c>
      <c r="I213" s="5279" t="s">
        <v>944</v>
      </c>
    </row>
    <row customHeight="1" ht="11.25">
      <c r="A214" s="5279" t="s">
        <v>2344</v>
      </c>
      <c r="B214" s="5279" t="s">
        <v>16</v>
      </c>
      <c r="C214" s="5279" t="s">
        <v>2510</v>
      </c>
      <c r="D214" s="5279" t="s">
        <v>2511</v>
      </c>
      <c r="E214" s="5279" t="s">
        <v>2512</v>
      </c>
      <c r="F214" s="5279" t="s">
        <v>2509</v>
      </c>
      <c r="G214" s="5279" t="s">
        <v>28</v>
      </c>
      <c r="H214" s="5279" t="s">
        <v>28</v>
      </c>
      <c r="I214" s="5279" t="s">
        <v>944</v>
      </c>
    </row>
    <row customHeight="1" ht="11.25">
      <c r="A215" s="5279" t="s">
        <v>2344</v>
      </c>
      <c r="B215" s="5279" t="s">
        <v>16</v>
      </c>
      <c r="C215" s="5279" t="s">
        <v>2513</v>
      </c>
      <c r="D215" s="5279" t="s">
        <v>2514</v>
      </c>
      <c r="E215" s="5279" t="s">
        <v>2515</v>
      </c>
      <c r="F215" s="5279" t="s">
        <v>2516</v>
      </c>
      <c r="G215" s="5279" t="s">
        <v>28</v>
      </c>
      <c r="H215" s="5279" t="s">
        <v>28</v>
      </c>
      <c r="I215" s="5279" t="s">
        <v>944</v>
      </c>
    </row>
    <row customHeight="1" ht="11.25">
      <c r="A216" s="5279" t="s">
        <v>2344</v>
      </c>
      <c r="B216" s="5279" t="s">
        <v>16</v>
      </c>
      <c r="C216" s="5279" t="s">
        <v>2876</v>
      </c>
      <c r="D216" s="5279" t="s">
        <v>2877</v>
      </c>
      <c r="E216" s="5279" t="s">
        <v>2878</v>
      </c>
      <c r="F216" s="5279" t="s">
        <v>2450</v>
      </c>
      <c r="G216" s="5279" t="s">
        <v>28</v>
      </c>
      <c r="H216" s="5279" t="s">
        <v>28</v>
      </c>
      <c r="I216" s="5279" t="s">
        <v>944</v>
      </c>
    </row>
    <row customHeight="1" ht="11.25">
      <c r="A217" s="5279" t="s">
        <v>2344</v>
      </c>
      <c r="B217" s="5279" t="s">
        <v>16</v>
      </c>
      <c r="C217" s="5279" t="s">
        <v>2879</v>
      </c>
      <c r="D217" s="5279" t="s">
        <v>2880</v>
      </c>
      <c r="E217" s="5279" t="s">
        <v>2881</v>
      </c>
      <c r="F217" s="5279" t="s">
        <v>2413</v>
      </c>
      <c r="G217" s="5279" t="s">
        <v>2882</v>
      </c>
      <c r="H217" s="5279" t="s">
        <v>28</v>
      </c>
      <c r="I217" s="5279" t="s">
        <v>944</v>
      </c>
    </row>
    <row customHeight="1" ht="11.25">
      <c r="A218" s="5279" t="s">
        <v>2344</v>
      </c>
      <c r="B218" s="5279" t="s">
        <v>16</v>
      </c>
      <c r="C218" s="5279" t="s">
        <v>2883</v>
      </c>
      <c r="D218" s="5279" t="s">
        <v>2884</v>
      </c>
      <c r="E218" s="5279" t="s">
        <v>2885</v>
      </c>
      <c r="F218" s="5279" t="s">
        <v>2471</v>
      </c>
      <c r="G218" s="5279" t="s">
        <v>2886</v>
      </c>
      <c r="H218" s="5279" t="s">
        <v>28</v>
      </c>
      <c r="I218" s="5279" t="s">
        <v>944</v>
      </c>
    </row>
    <row customHeight="1" ht="11.25">
      <c r="A219" s="5279" t="s">
        <v>2344</v>
      </c>
      <c r="B219" s="5279" t="s">
        <v>16</v>
      </c>
      <c r="C219" s="5279" t="s">
        <v>2517</v>
      </c>
      <c r="D219" s="5279" t="s">
        <v>2518</v>
      </c>
      <c r="E219" s="5279" t="s">
        <v>2519</v>
      </c>
      <c r="F219" s="5279" t="s">
        <v>2384</v>
      </c>
      <c r="G219" s="5279" t="s">
        <v>28</v>
      </c>
      <c r="H219" s="5279" t="s">
        <v>28</v>
      </c>
      <c r="I219" s="5279" t="s">
        <v>944</v>
      </c>
    </row>
    <row customHeight="1" ht="11.25">
      <c r="A220" s="5279" t="s">
        <v>2344</v>
      </c>
      <c r="B220" s="5279" t="s">
        <v>16</v>
      </c>
      <c r="C220" s="5279" t="s">
        <v>2887</v>
      </c>
      <c r="D220" s="5279" t="s">
        <v>2888</v>
      </c>
      <c r="E220" s="5279" t="s">
        <v>2889</v>
      </c>
      <c r="F220" s="5279" t="s">
        <v>2853</v>
      </c>
      <c r="G220" s="5279" t="s">
        <v>28</v>
      </c>
      <c r="H220" s="5279" t="s">
        <v>28</v>
      </c>
      <c r="I220" s="5279" t="s">
        <v>944</v>
      </c>
    </row>
    <row customHeight="1" ht="11.25">
      <c r="A221" s="5279" t="s">
        <v>2344</v>
      </c>
      <c r="B221" s="5279" t="s">
        <v>16</v>
      </c>
      <c r="C221" s="5279" t="s">
        <v>2520</v>
      </c>
      <c r="D221" s="5279" t="s">
        <v>2521</v>
      </c>
      <c r="E221" s="5279" t="s">
        <v>2522</v>
      </c>
      <c r="F221" s="5279" t="s">
        <v>2505</v>
      </c>
      <c r="G221" s="5279" t="s">
        <v>28</v>
      </c>
      <c r="H221" s="5279" t="s">
        <v>28</v>
      </c>
      <c r="I221" s="5279" t="s">
        <v>944</v>
      </c>
    </row>
    <row customHeight="1" ht="11.25">
      <c r="A222" s="5279" t="s">
        <v>2344</v>
      </c>
      <c r="B222" s="5279" t="s">
        <v>16</v>
      </c>
      <c r="C222" s="5279" t="s">
        <v>2890</v>
      </c>
      <c r="D222" s="5279" t="s">
        <v>2891</v>
      </c>
      <c r="E222" s="5279" t="s">
        <v>2892</v>
      </c>
      <c r="F222" s="5279" t="s">
        <v>2413</v>
      </c>
      <c r="G222" s="5279" t="s">
        <v>28</v>
      </c>
      <c r="H222" s="5279" t="s">
        <v>28</v>
      </c>
      <c r="I222" s="5279" t="s">
        <v>944</v>
      </c>
    </row>
    <row customHeight="1" ht="11.25">
      <c r="A223" s="5279" t="s">
        <v>2344</v>
      </c>
      <c r="B223" s="5279" t="s">
        <v>16</v>
      </c>
      <c r="C223" s="5279" t="s">
        <v>2893</v>
      </c>
      <c r="D223" s="5279" t="s">
        <v>2894</v>
      </c>
      <c r="E223" s="5279" t="s">
        <v>2895</v>
      </c>
      <c r="F223" s="5279" t="s">
        <v>2769</v>
      </c>
      <c r="G223" s="5279" t="s">
        <v>28</v>
      </c>
      <c r="H223" s="5279" t="s">
        <v>28</v>
      </c>
      <c r="I223" s="5279" t="s">
        <v>944</v>
      </c>
    </row>
    <row customHeight="1" ht="11.25">
      <c r="A224" s="5279" t="s">
        <v>2344</v>
      </c>
      <c r="B224" s="5279" t="s">
        <v>16</v>
      </c>
      <c r="C224" s="5279" t="s">
        <v>2896</v>
      </c>
      <c r="D224" s="5279" t="s">
        <v>2897</v>
      </c>
      <c r="E224" s="5279" t="s">
        <v>2898</v>
      </c>
      <c r="F224" s="5279" t="s">
        <v>2351</v>
      </c>
      <c r="G224" s="5279" t="s">
        <v>28</v>
      </c>
      <c r="H224" s="5279" t="s">
        <v>28</v>
      </c>
      <c r="I224" s="5279" t="s">
        <v>944</v>
      </c>
    </row>
    <row customHeight="1" ht="11.25">
      <c r="A225" s="5279" t="s">
        <v>2344</v>
      </c>
      <c r="B225" s="5279" t="s">
        <v>16</v>
      </c>
      <c r="C225" s="5279" t="s">
        <v>2523</v>
      </c>
      <c r="D225" s="5279" t="s">
        <v>2524</v>
      </c>
      <c r="E225" s="5279" t="s">
        <v>2525</v>
      </c>
      <c r="F225" s="5279" t="s">
        <v>2526</v>
      </c>
      <c r="G225" s="5279" t="s">
        <v>28</v>
      </c>
      <c r="H225" s="5279" t="s">
        <v>28</v>
      </c>
      <c r="I225" s="5279" t="s">
        <v>944</v>
      </c>
    </row>
    <row customHeight="1" ht="11.25">
      <c r="A226" s="5279" t="s">
        <v>2344</v>
      </c>
      <c r="B226" s="5279" t="s">
        <v>16</v>
      </c>
      <c r="C226" s="5279" t="s">
        <v>2899</v>
      </c>
      <c r="D226" s="5279" t="s">
        <v>2900</v>
      </c>
      <c r="E226" s="5279" t="s">
        <v>2901</v>
      </c>
      <c r="F226" s="5279" t="s">
        <v>2769</v>
      </c>
      <c r="G226" s="5279" t="s">
        <v>28</v>
      </c>
      <c r="H226" s="5279" t="s">
        <v>28</v>
      </c>
      <c r="I226" s="5279" t="s">
        <v>944</v>
      </c>
    </row>
    <row customHeight="1" ht="11.25">
      <c r="A227" s="5279" t="s">
        <v>2344</v>
      </c>
      <c r="B227" s="5279" t="s">
        <v>16</v>
      </c>
      <c r="C227" s="5279" t="s">
        <v>2527</v>
      </c>
      <c r="D227" s="5279" t="s">
        <v>2528</v>
      </c>
      <c r="E227" s="5279" t="s">
        <v>2529</v>
      </c>
      <c r="F227" s="5279" t="s">
        <v>2489</v>
      </c>
      <c r="G227" s="5279" t="s">
        <v>28</v>
      </c>
      <c r="H227" s="5279" t="s">
        <v>28</v>
      </c>
      <c r="I227" s="5279" t="s">
        <v>944</v>
      </c>
    </row>
    <row customHeight="1" ht="11.25">
      <c r="A228" s="5279" t="s">
        <v>2344</v>
      </c>
      <c r="B228" s="5279" t="s">
        <v>16</v>
      </c>
      <c r="C228" s="5279" t="s">
        <v>2537</v>
      </c>
      <c r="D228" s="5279" t="s">
        <v>2538</v>
      </c>
      <c r="E228" s="5279" t="s">
        <v>2539</v>
      </c>
      <c r="F228" s="5279" t="s">
        <v>2540</v>
      </c>
      <c r="G228" s="5279" t="s">
        <v>28</v>
      </c>
      <c r="H228" s="5279" t="s">
        <v>28</v>
      </c>
      <c r="I228" s="5279" t="s">
        <v>944</v>
      </c>
    </row>
    <row customHeight="1" ht="11.25">
      <c r="A229" s="5279" t="s">
        <v>2344</v>
      </c>
      <c r="B229" s="5279" t="s">
        <v>16</v>
      </c>
      <c r="C229" s="5279" t="s">
        <v>2902</v>
      </c>
      <c r="D229" s="5279" t="s">
        <v>2903</v>
      </c>
      <c r="E229" s="5279" t="s">
        <v>2362</v>
      </c>
      <c r="F229" s="5279" t="s">
        <v>2904</v>
      </c>
      <c r="G229" s="5279" t="s">
        <v>28</v>
      </c>
      <c r="H229" s="5279" t="s">
        <v>28</v>
      </c>
      <c r="I229" s="5279" t="s">
        <v>944</v>
      </c>
    </row>
    <row customHeight="1" ht="11.25">
      <c r="A230" s="5279" t="s">
        <v>2344</v>
      </c>
      <c r="B230" s="5279" t="s">
        <v>16</v>
      </c>
      <c r="C230" s="5279" t="s">
        <v>2905</v>
      </c>
      <c r="D230" s="5279" t="s">
        <v>2906</v>
      </c>
      <c r="E230" s="5279" t="s">
        <v>2907</v>
      </c>
      <c r="F230" s="5279" t="s">
        <v>2351</v>
      </c>
      <c r="G230" s="5279" t="s">
        <v>28</v>
      </c>
      <c r="H230" s="5279" t="s">
        <v>28</v>
      </c>
      <c r="I230" s="5279" t="s">
        <v>944</v>
      </c>
    </row>
    <row customHeight="1" ht="11.25">
      <c r="A231" s="5279" t="s">
        <v>2344</v>
      </c>
      <c r="B231" s="5279" t="s">
        <v>16</v>
      </c>
      <c r="C231" s="5279" t="s">
        <v>2560</v>
      </c>
      <c r="D231" s="5279" t="s">
        <v>2561</v>
      </c>
      <c r="E231" s="5279" t="s">
        <v>2562</v>
      </c>
      <c r="F231" s="5279" t="s">
        <v>2509</v>
      </c>
      <c r="G231" s="5279" t="s">
        <v>28</v>
      </c>
      <c r="H231" s="5279" t="s">
        <v>28</v>
      </c>
      <c r="I231" s="5279" t="s">
        <v>944</v>
      </c>
    </row>
    <row customHeight="1" ht="11.25">
      <c r="A232" s="5279" t="s">
        <v>2344</v>
      </c>
      <c r="B232" s="5279" t="s">
        <v>16</v>
      </c>
      <c r="C232" s="5279" t="s">
        <v>2908</v>
      </c>
      <c r="D232" s="5279" t="s">
        <v>2909</v>
      </c>
      <c r="E232" s="5279" t="s">
        <v>2910</v>
      </c>
      <c r="F232" s="5279" t="s">
        <v>2384</v>
      </c>
      <c r="G232" s="5279" t="s">
        <v>2911</v>
      </c>
      <c r="H232" s="5279" t="s">
        <v>28</v>
      </c>
      <c r="I232" s="5279" t="s">
        <v>944</v>
      </c>
    </row>
    <row customHeight="1" ht="11.25">
      <c r="A233" s="5279" t="s">
        <v>2344</v>
      </c>
      <c r="B233" s="5279" t="s">
        <v>16</v>
      </c>
      <c r="C233" s="5279" t="s">
        <v>2912</v>
      </c>
      <c r="D233" s="5279" t="s">
        <v>2913</v>
      </c>
      <c r="E233" s="5279" t="s">
        <v>2914</v>
      </c>
      <c r="F233" s="5279" t="s">
        <v>2396</v>
      </c>
      <c r="G233" s="5279" t="s">
        <v>2915</v>
      </c>
      <c r="H233" s="5279" t="s">
        <v>28</v>
      </c>
      <c r="I233" s="5279" t="s">
        <v>944</v>
      </c>
    </row>
    <row customHeight="1" ht="11.25">
      <c r="A234" s="5279" t="s">
        <v>2344</v>
      </c>
      <c r="B234" s="5279" t="s">
        <v>16</v>
      </c>
      <c r="C234" s="5279" t="s">
        <v>2916</v>
      </c>
      <c r="D234" s="5279" t="s">
        <v>2917</v>
      </c>
      <c r="E234" s="5279" t="s">
        <v>2918</v>
      </c>
      <c r="F234" s="5279" t="s">
        <v>2666</v>
      </c>
      <c r="G234" s="5279" t="s">
        <v>2919</v>
      </c>
      <c r="H234" s="5279" t="s">
        <v>28</v>
      </c>
      <c r="I234" s="5279" t="s">
        <v>944</v>
      </c>
    </row>
    <row customHeight="1" ht="11.25">
      <c r="A235" s="5279" t="s">
        <v>2344</v>
      </c>
      <c r="B235" s="5279" t="s">
        <v>16</v>
      </c>
      <c r="C235" s="5279" t="s">
        <v>2920</v>
      </c>
      <c r="D235" s="5279" t="s">
        <v>2921</v>
      </c>
      <c r="E235" s="5279" t="s">
        <v>2922</v>
      </c>
      <c r="F235" s="5279" t="s">
        <v>2923</v>
      </c>
      <c r="G235" s="5279" t="s">
        <v>28</v>
      </c>
      <c r="H235" s="5279" t="s">
        <v>28</v>
      </c>
      <c r="I235" s="5279" t="s">
        <v>944</v>
      </c>
    </row>
    <row customHeight="1" ht="11.25">
      <c r="A236" s="5279" t="s">
        <v>2344</v>
      </c>
      <c r="B236" s="5279" t="s">
        <v>16</v>
      </c>
      <c r="C236" s="5279" t="s">
        <v>2924</v>
      </c>
      <c r="D236" s="5279" t="s">
        <v>2925</v>
      </c>
      <c r="E236" s="5279" t="s">
        <v>2926</v>
      </c>
      <c r="F236" s="5279" t="s">
        <v>2355</v>
      </c>
      <c r="G236" s="5279" t="s">
        <v>2927</v>
      </c>
      <c r="H236" s="5279" t="s">
        <v>28</v>
      </c>
      <c r="I236" s="5279" t="s">
        <v>944</v>
      </c>
    </row>
    <row customHeight="1" ht="11.25">
      <c r="A237" s="5279" t="s">
        <v>2344</v>
      </c>
      <c r="B237" s="5279" t="s">
        <v>16</v>
      </c>
      <c r="C237" s="5279" t="s">
        <v>2928</v>
      </c>
      <c r="D237" s="5279" t="s">
        <v>2929</v>
      </c>
      <c r="E237" s="5279" t="s">
        <v>2930</v>
      </c>
      <c r="F237" s="5279" t="s">
        <v>2376</v>
      </c>
      <c r="G237" s="5279" t="s">
        <v>28</v>
      </c>
      <c r="H237" s="5279" t="s">
        <v>28</v>
      </c>
      <c r="I237" s="5279" t="s">
        <v>944</v>
      </c>
    </row>
    <row customHeight="1" ht="11.25">
      <c r="A238" s="5279" t="s">
        <v>2344</v>
      </c>
      <c r="B238" s="5279" t="s">
        <v>16</v>
      </c>
      <c r="C238" s="5279" t="s">
        <v>2931</v>
      </c>
      <c r="D238" s="5279" t="s">
        <v>2932</v>
      </c>
      <c r="E238" s="5279" t="s">
        <v>2933</v>
      </c>
      <c r="F238" s="5279" t="s">
        <v>2934</v>
      </c>
      <c r="G238" s="5279" t="s">
        <v>28</v>
      </c>
      <c r="H238" s="5279" t="s">
        <v>28</v>
      </c>
      <c r="I238" s="5279" t="s">
        <v>944</v>
      </c>
    </row>
    <row customHeight="1" ht="11.25">
      <c r="A239" s="5279" t="s">
        <v>2344</v>
      </c>
      <c r="B239" s="5279" t="s">
        <v>16</v>
      </c>
      <c r="C239" s="5279" t="s">
        <v>2935</v>
      </c>
      <c r="D239" s="5279" t="s">
        <v>2936</v>
      </c>
      <c r="E239" s="5279" t="s">
        <v>2937</v>
      </c>
      <c r="F239" s="5279" t="s">
        <v>2743</v>
      </c>
      <c r="G239" s="5279" t="s">
        <v>28</v>
      </c>
      <c r="H239" s="5279" t="s">
        <v>28</v>
      </c>
      <c r="I239" s="5279" t="s">
        <v>944</v>
      </c>
    </row>
    <row customHeight="1" ht="11.25">
      <c r="A240" s="5279" t="s">
        <v>2344</v>
      </c>
      <c r="B240" s="5279" t="s">
        <v>16</v>
      </c>
      <c r="C240" s="5279" t="s">
        <v>2938</v>
      </c>
      <c r="D240" s="5279" t="s">
        <v>2939</v>
      </c>
      <c r="E240" s="5279" t="s">
        <v>2940</v>
      </c>
      <c r="F240" s="5279" t="s">
        <v>2769</v>
      </c>
      <c r="G240" s="5279" t="s">
        <v>2941</v>
      </c>
      <c r="H240" s="5279" t="s">
        <v>28</v>
      </c>
      <c r="I240" s="5279" t="s">
        <v>944</v>
      </c>
    </row>
    <row customHeight="1" ht="11.25">
      <c r="A241" s="5279" t="s">
        <v>2344</v>
      </c>
      <c r="B241" s="5279" t="s">
        <v>16</v>
      </c>
      <c r="C241" s="5279" t="s">
        <v>2575</v>
      </c>
      <c r="D241" s="5279" t="s">
        <v>2576</v>
      </c>
      <c r="E241" s="5279" t="s">
        <v>2577</v>
      </c>
      <c r="F241" s="5279" t="s">
        <v>2578</v>
      </c>
      <c r="G241" s="5279" t="s">
        <v>2579</v>
      </c>
      <c r="H241" s="5279" t="s">
        <v>28</v>
      </c>
      <c r="I241" s="5279" t="s">
        <v>944</v>
      </c>
    </row>
    <row customHeight="1" ht="11.25">
      <c r="A242" s="5279" t="s">
        <v>2344</v>
      </c>
      <c r="B242" s="5279" t="s">
        <v>16</v>
      </c>
      <c r="C242" s="5279" t="s">
        <v>2942</v>
      </c>
      <c r="D242" s="5279" t="s">
        <v>2943</v>
      </c>
      <c r="E242" s="5279" t="s">
        <v>2944</v>
      </c>
      <c r="F242" s="5279" t="s">
        <v>2384</v>
      </c>
      <c r="G242" s="5279" t="s">
        <v>28</v>
      </c>
      <c r="H242" s="5279" t="s">
        <v>28</v>
      </c>
      <c r="I242" s="5279" t="s">
        <v>944</v>
      </c>
    </row>
    <row customHeight="1" ht="11.25">
      <c r="A243" s="5279" t="s">
        <v>2344</v>
      </c>
      <c r="B243" s="5279" t="s">
        <v>16</v>
      </c>
      <c r="C243" s="5279" t="s">
        <v>2945</v>
      </c>
      <c r="D243" s="5279" t="s">
        <v>2946</v>
      </c>
      <c r="E243" s="5279" t="s">
        <v>2947</v>
      </c>
      <c r="F243" s="5279" t="s">
        <v>2578</v>
      </c>
      <c r="G243" s="5279" t="s">
        <v>28</v>
      </c>
      <c r="H243" s="5279" t="s">
        <v>28</v>
      </c>
      <c r="I243" s="5279" t="s">
        <v>944</v>
      </c>
    </row>
    <row customHeight="1" ht="11.25">
      <c r="A244" s="5279" t="s">
        <v>2344</v>
      </c>
      <c r="B244" s="5279" t="s">
        <v>16</v>
      </c>
      <c r="C244" s="5279" t="s">
        <v>2948</v>
      </c>
      <c r="D244" s="5279" t="s">
        <v>2949</v>
      </c>
      <c r="E244" s="5279" t="s">
        <v>2950</v>
      </c>
      <c r="F244" s="5279" t="s">
        <v>2347</v>
      </c>
      <c r="G244" s="5279" t="s">
        <v>28</v>
      </c>
      <c r="H244" s="5279" t="s">
        <v>28</v>
      </c>
      <c r="I244" s="5279" t="s">
        <v>944</v>
      </c>
    </row>
    <row customHeight="1" ht="11.25">
      <c r="A245" s="5279" t="s">
        <v>2344</v>
      </c>
      <c r="B245" s="5279" t="s">
        <v>16</v>
      </c>
      <c r="C245" s="5279" t="s">
        <v>2588</v>
      </c>
      <c r="D245" s="5279" t="s">
        <v>2589</v>
      </c>
      <c r="E245" s="5279" t="s">
        <v>2590</v>
      </c>
      <c r="F245" s="5279" t="s">
        <v>2591</v>
      </c>
      <c r="G245" s="5279" t="s">
        <v>28</v>
      </c>
      <c r="H245" s="5279" t="s">
        <v>28</v>
      </c>
      <c r="I245" s="5279" t="s">
        <v>944</v>
      </c>
    </row>
    <row customHeight="1" ht="11.25">
      <c r="A246" s="5279" t="s">
        <v>2344</v>
      </c>
      <c r="B246" s="5279" t="s">
        <v>16</v>
      </c>
      <c r="C246" s="5279" t="s">
        <v>2951</v>
      </c>
      <c r="D246" s="5279" t="s">
        <v>2952</v>
      </c>
      <c r="E246" s="5279" t="s">
        <v>2953</v>
      </c>
      <c r="F246" s="5279" t="s">
        <v>2351</v>
      </c>
      <c r="G246" s="5279" t="s">
        <v>28</v>
      </c>
      <c r="H246" s="5279" t="s">
        <v>28</v>
      </c>
      <c r="I246" s="5279" t="s">
        <v>944</v>
      </c>
    </row>
    <row customHeight="1" ht="11.25">
      <c r="A247" s="5279" t="s">
        <v>2344</v>
      </c>
      <c r="B247" s="5279" t="s">
        <v>16</v>
      </c>
      <c r="C247" s="5279" t="s">
        <v>2592</v>
      </c>
      <c r="D247" s="5279" t="s">
        <v>2593</v>
      </c>
      <c r="E247" s="5279" t="s">
        <v>2594</v>
      </c>
      <c r="F247" s="5279" t="s">
        <v>2578</v>
      </c>
      <c r="G247" s="5279" t="s">
        <v>28</v>
      </c>
      <c r="H247" s="5279" t="s">
        <v>28</v>
      </c>
      <c r="I247" s="5279" t="s">
        <v>944</v>
      </c>
    </row>
    <row customHeight="1" ht="11.25">
      <c r="A248" s="5279" t="s">
        <v>2344</v>
      </c>
      <c r="B248" s="5279" t="s">
        <v>16</v>
      </c>
      <c r="C248" s="5279" t="s">
        <v>2598</v>
      </c>
      <c r="D248" s="5279" t="s">
        <v>2599</v>
      </c>
      <c r="E248" s="5279" t="s">
        <v>2600</v>
      </c>
      <c r="F248" s="5279" t="s">
        <v>2578</v>
      </c>
      <c r="G248" s="5279" t="s">
        <v>28</v>
      </c>
      <c r="H248" s="5279" t="s">
        <v>28</v>
      </c>
      <c r="I248" s="5279" t="s">
        <v>944</v>
      </c>
    </row>
    <row customHeight="1" ht="11.25">
      <c r="A249" s="5279" t="s">
        <v>2344</v>
      </c>
      <c r="B249" s="5279" t="s">
        <v>16</v>
      </c>
      <c r="C249" s="5279" t="s">
        <v>2954</v>
      </c>
      <c r="D249" s="5279" t="s">
        <v>2955</v>
      </c>
      <c r="E249" s="5279" t="s">
        <v>2956</v>
      </c>
      <c r="F249" s="5279" t="s">
        <v>2578</v>
      </c>
      <c r="G249" s="5279" t="s">
        <v>28</v>
      </c>
      <c r="H249" s="5279" t="s">
        <v>28</v>
      </c>
      <c r="I249" s="5279" t="s">
        <v>944</v>
      </c>
    </row>
    <row customHeight="1" ht="11.25">
      <c r="A250" s="5279" t="s">
        <v>2344</v>
      </c>
      <c r="B250" s="5279" t="s">
        <v>16</v>
      </c>
      <c r="C250" s="5279" t="s">
        <v>2957</v>
      </c>
      <c r="D250" s="5279" t="s">
        <v>2958</v>
      </c>
      <c r="E250" s="5279" t="s">
        <v>2959</v>
      </c>
      <c r="F250" s="5279" t="s">
        <v>2526</v>
      </c>
      <c r="G250" s="5279" t="s">
        <v>2960</v>
      </c>
      <c r="H250" s="5279" t="s">
        <v>28</v>
      </c>
      <c r="I250" s="5279" t="s">
        <v>944</v>
      </c>
    </row>
    <row customHeight="1" ht="11.25">
      <c r="A251" s="5279" t="s">
        <v>2344</v>
      </c>
      <c r="B251" s="5279" t="s">
        <v>16</v>
      </c>
      <c r="C251" s="5279" t="s">
        <v>2961</v>
      </c>
      <c r="D251" s="5279" t="s">
        <v>2962</v>
      </c>
      <c r="E251" s="5279" t="s">
        <v>2963</v>
      </c>
      <c r="F251" s="5279" t="s">
        <v>2351</v>
      </c>
      <c r="G251" s="5279" t="s">
        <v>2964</v>
      </c>
      <c r="H251" s="5279" t="s">
        <v>28</v>
      </c>
      <c r="I251" s="5279" t="s">
        <v>944</v>
      </c>
    </row>
    <row customHeight="1" ht="11.25">
      <c r="A252" s="5279" t="s">
        <v>2344</v>
      </c>
      <c r="B252" s="5279" t="s">
        <v>16</v>
      </c>
      <c r="C252" s="5279" t="s">
        <v>2965</v>
      </c>
      <c r="D252" s="5279" t="s">
        <v>2966</v>
      </c>
      <c r="E252" s="5279" t="s">
        <v>2967</v>
      </c>
      <c r="F252" s="5279" t="s">
        <v>2479</v>
      </c>
      <c r="G252" s="5279" t="s">
        <v>28</v>
      </c>
      <c r="H252" s="5279" t="s">
        <v>28</v>
      </c>
      <c r="I252" s="5279" t="s">
        <v>944</v>
      </c>
    </row>
    <row customHeight="1" ht="11.25">
      <c r="A253" s="5279" t="s">
        <v>2344</v>
      </c>
      <c r="B253" s="5279" t="s">
        <v>16</v>
      </c>
      <c r="C253" s="5279" t="s">
        <v>2968</v>
      </c>
      <c r="D253" s="5279" t="s">
        <v>2969</v>
      </c>
      <c r="E253" s="5279" t="s">
        <v>2970</v>
      </c>
      <c r="F253" s="5279" t="s">
        <v>2769</v>
      </c>
      <c r="G253" s="5279" t="s">
        <v>2971</v>
      </c>
      <c r="H253" s="5279" t="s">
        <v>28</v>
      </c>
      <c r="I253" s="5279" t="s">
        <v>944</v>
      </c>
    </row>
    <row customHeight="1" ht="11.25">
      <c r="A254" s="5279" t="s">
        <v>2344</v>
      </c>
      <c r="B254" s="5279" t="s">
        <v>16</v>
      </c>
      <c r="C254" s="5279" t="s">
        <v>2972</v>
      </c>
      <c r="D254" s="5279" t="s">
        <v>2973</v>
      </c>
      <c r="E254" s="5279" t="s">
        <v>2974</v>
      </c>
      <c r="F254" s="5279" t="s">
        <v>2405</v>
      </c>
      <c r="G254" s="5279" t="s">
        <v>2975</v>
      </c>
      <c r="H254" s="5279" t="s">
        <v>28</v>
      </c>
      <c r="I254" s="5279" t="s">
        <v>944</v>
      </c>
    </row>
    <row customHeight="1" ht="11.25">
      <c r="A255" s="5279" t="s">
        <v>2344</v>
      </c>
      <c r="B255" s="5279" t="s">
        <v>16</v>
      </c>
      <c r="C255" s="5279" t="s">
        <v>2976</v>
      </c>
      <c r="D255" s="5279" t="s">
        <v>2977</v>
      </c>
      <c r="E255" s="5279" t="s">
        <v>2978</v>
      </c>
      <c r="F255" s="5279" t="s">
        <v>2666</v>
      </c>
      <c r="G255" s="5279" t="s">
        <v>2979</v>
      </c>
      <c r="H255" s="5279" t="s">
        <v>28</v>
      </c>
      <c r="I255" s="5279" t="s">
        <v>944</v>
      </c>
    </row>
    <row customHeight="1" ht="11.25">
      <c r="A256" s="5279" t="s">
        <v>2344</v>
      </c>
      <c r="B256" s="5279" t="s">
        <v>16</v>
      </c>
      <c r="C256" s="5279" t="s">
        <v>2610</v>
      </c>
      <c r="D256" s="5279" t="s">
        <v>2611</v>
      </c>
      <c r="E256" s="5279" t="s">
        <v>2612</v>
      </c>
      <c r="F256" s="5279" t="s">
        <v>2578</v>
      </c>
      <c r="G256" s="5279" t="s">
        <v>28</v>
      </c>
      <c r="H256" s="5279" t="s">
        <v>28</v>
      </c>
      <c r="I256" s="5279" t="s">
        <v>944</v>
      </c>
    </row>
    <row customHeight="1" ht="11.25">
      <c r="A257" s="5279" t="s">
        <v>2344</v>
      </c>
      <c r="B257" s="5279" t="s">
        <v>16</v>
      </c>
      <c r="C257" s="5279" t="s">
        <v>2980</v>
      </c>
      <c r="D257" s="5279" t="s">
        <v>2981</v>
      </c>
      <c r="E257" s="5279" t="s">
        <v>2982</v>
      </c>
      <c r="F257" s="5279" t="s">
        <v>2526</v>
      </c>
      <c r="G257" s="5279" t="s">
        <v>28</v>
      </c>
      <c r="H257" s="5279" t="s">
        <v>28</v>
      </c>
      <c r="I257" s="5279" t="s">
        <v>944</v>
      </c>
    </row>
    <row customHeight="1" ht="11.25">
      <c r="A258" s="5279" t="s">
        <v>2344</v>
      </c>
      <c r="B258" s="5279" t="s">
        <v>16</v>
      </c>
      <c r="C258" s="5279" t="s">
        <v>2623</v>
      </c>
      <c r="D258" s="5279" t="s">
        <v>2624</v>
      </c>
      <c r="E258" s="5279" t="s">
        <v>2625</v>
      </c>
      <c r="F258" s="5279" t="s">
        <v>2384</v>
      </c>
      <c r="G258" s="5279" t="s">
        <v>28</v>
      </c>
      <c r="H258" s="5279" t="s">
        <v>28</v>
      </c>
      <c r="I258" s="5279" t="s">
        <v>944</v>
      </c>
    </row>
    <row customHeight="1" ht="11.25">
      <c r="A259" s="5279" t="s">
        <v>2344</v>
      </c>
      <c r="B259" s="5279" t="s">
        <v>16</v>
      </c>
      <c r="C259" s="5279" t="s">
        <v>2626</v>
      </c>
      <c r="D259" s="5279" t="s">
        <v>2627</v>
      </c>
      <c r="E259" s="5279" t="s">
        <v>2628</v>
      </c>
      <c r="F259" s="5279" t="s">
        <v>2351</v>
      </c>
      <c r="G259" s="5279" t="s">
        <v>28</v>
      </c>
      <c r="H259" s="5279" t="s">
        <v>28</v>
      </c>
      <c r="I259" s="5279" t="s">
        <v>944</v>
      </c>
    </row>
    <row customHeight="1" ht="11.25">
      <c r="A260" s="5279" t="s">
        <v>2344</v>
      </c>
      <c r="B260" s="5279" t="s">
        <v>16</v>
      </c>
      <c r="C260" s="5279" t="s">
        <v>2641</v>
      </c>
      <c r="D260" s="5279" t="s">
        <v>2642</v>
      </c>
      <c r="E260" s="5279" t="s">
        <v>2643</v>
      </c>
      <c r="F260" s="5279" t="s">
        <v>2547</v>
      </c>
      <c r="G260" s="5279" t="s">
        <v>2644</v>
      </c>
      <c r="H260" s="5279" t="s">
        <v>28</v>
      </c>
      <c r="I260" s="5279" t="s">
        <v>944</v>
      </c>
    </row>
    <row customHeight="1" ht="11.25">
      <c r="A261" s="5279" t="s">
        <v>2344</v>
      </c>
      <c r="B261" s="5279" t="s">
        <v>16</v>
      </c>
      <c r="C261" s="5279" t="s">
        <v>2983</v>
      </c>
      <c r="D261" s="5279" t="s">
        <v>2984</v>
      </c>
      <c r="E261" s="5279" t="s">
        <v>2985</v>
      </c>
      <c r="F261" s="5279" t="s">
        <v>2533</v>
      </c>
      <c r="G261" s="5279" t="s">
        <v>28</v>
      </c>
      <c r="H261" s="5279" t="s">
        <v>28</v>
      </c>
      <c r="I261" s="5279" t="s">
        <v>944</v>
      </c>
    </row>
    <row customHeight="1" ht="11.25">
      <c r="A262" s="5279" t="s">
        <v>2344</v>
      </c>
      <c r="B262" s="5279" t="s">
        <v>16</v>
      </c>
      <c r="C262" s="5279" t="s">
        <v>2986</v>
      </c>
      <c r="D262" s="5279" t="s">
        <v>2987</v>
      </c>
      <c r="E262" s="5279" t="s">
        <v>2988</v>
      </c>
      <c r="F262" s="5279" t="s">
        <v>2479</v>
      </c>
      <c r="G262" s="5279" t="s">
        <v>28</v>
      </c>
      <c r="H262" s="5279" t="s">
        <v>28</v>
      </c>
      <c r="I262" s="5279" t="s">
        <v>944</v>
      </c>
    </row>
    <row customHeight="1" ht="11.25">
      <c r="A263" s="5279" t="s">
        <v>2344</v>
      </c>
      <c r="B263" s="5279" t="s">
        <v>16</v>
      </c>
      <c r="C263" s="5279" t="s">
        <v>2657</v>
      </c>
      <c r="D263" s="5279" t="s">
        <v>2658</v>
      </c>
      <c r="E263" s="5279" t="s">
        <v>2659</v>
      </c>
      <c r="F263" s="5279" t="s">
        <v>2351</v>
      </c>
      <c r="G263" s="5279" t="s">
        <v>28</v>
      </c>
      <c r="H263" s="5279" t="s">
        <v>28</v>
      </c>
      <c r="I263" s="5279" t="s">
        <v>944</v>
      </c>
    </row>
    <row customHeight="1" ht="11.25">
      <c r="A264" s="5279" t="s">
        <v>2344</v>
      </c>
      <c r="B264" s="5279" t="s">
        <v>16</v>
      </c>
      <c r="C264" s="5279" t="s">
        <v>2989</v>
      </c>
      <c r="D264" s="5279" t="s">
        <v>2990</v>
      </c>
      <c r="E264" s="5279" t="s">
        <v>2991</v>
      </c>
      <c r="F264" s="5279" t="s">
        <v>2992</v>
      </c>
      <c r="G264" s="5279" t="s">
        <v>28</v>
      </c>
      <c r="H264" s="5279" t="s">
        <v>28</v>
      </c>
      <c r="I264" s="5279" t="s">
        <v>944</v>
      </c>
    </row>
    <row customHeight="1" ht="11.25">
      <c r="A265" s="5279" t="s">
        <v>2344</v>
      </c>
      <c r="B265" s="5279" t="s">
        <v>16</v>
      </c>
      <c r="C265" s="5279" t="s">
        <v>2993</v>
      </c>
      <c r="D265" s="5279" t="s">
        <v>2994</v>
      </c>
      <c r="E265" s="5279" t="s">
        <v>2995</v>
      </c>
      <c r="F265" s="5279" t="s">
        <v>2547</v>
      </c>
      <c r="G265" s="5279" t="s">
        <v>28</v>
      </c>
      <c r="H265" s="5279" t="s">
        <v>28</v>
      </c>
      <c r="I265" s="5279" t="s">
        <v>944</v>
      </c>
    </row>
    <row customHeight="1" ht="11.25">
      <c r="A266" s="5279" t="s">
        <v>2344</v>
      </c>
      <c r="B266" s="5279" t="s">
        <v>16</v>
      </c>
      <c r="C266" s="5279" t="s">
        <v>2996</v>
      </c>
      <c r="D266" s="5279" t="s">
        <v>2997</v>
      </c>
      <c r="E266" s="5279" t="s">
        <v>2998</v>
      </c>
      <c r="F266" s="5279" t="s">
        <v>2376</v>
      </c>
      <c r="G266" s="5279" t="s">
        <v>28</v>
      </c>
      <c r="H266" s="5279" t="s">
        <v>28</v>
      </c>
      <c r="I266" s="5279" t="s">
        <v>944</v>
      </c>
    </row>
    <row customHeight="1" ht="11.25">
      <c r="A267" s="5279" t="s">
        <v>2344</v>
      </c>
      <c r="B267" s="5279" t="s">
        <v>16</v>
      </c>
      <c r="C267" s="5279" t="s">
        <v>2660</v>
      </c>
      <c r="D267" s="5279" t="s">
        <v>2661</v>
      </c>
      <c r="E267" s="5279" t="s">
        <v>2662</v>
      </c>
      <c r="F267" s="5279" t="s">
        <v>2526</v>
      </c>
      <c r="G267" s="5279" t="s">
        <v>2406</v>
      </c>
      <c r="H267" s="5279" t="s">
        <v>28</v>
      </c>
      <c r="I267" s="5279" t="s">
        <v>944</v>
      </c>
    </row>
    <row customHeight="1" ht="11.25">
      <c r="A268" s="5279" t="s">
        <v>2344</v>
      </c>
      <c r="B268" s="5279" t="s">
        <v>16</v>
      </c>
      <c r="C268" s="5279" t="s">
        <v>2999</v>
      </c>
      <c r="D268" s="5279" t="s">
        <v>3000</v>
      </c>
      <c r="E268" s="5279" t="s">
        <v>3001</v>
      </c>
      <c r="F268" s="5279" t="s">
        <v>2526</v>
      </c>
      <c r="G268" s="5279" t="s">
        <v>28</v>
      </c>
      <c r="H268" s="5279" t="s">
        <v>28</v>
      </c>
      <c r="I268" s="5279" t="s">
        <v>944</v>
      </c>
    </row>
    <row customHeight="1" ht="11.25">
      <c r="A269" s="5279" t="s">
        <v>2344</v>
      </c>
      <c r="B269" s="5279" t="s">
        <v>16</v>
      </c>
      <c r="C269" s="5279" t="s">
        <v>2670</v>
      </c>
      <c r="D269" s="5279" t="s">
        <v>2671</v>
      </c>
      <c r="E269" s="5279" t="s">
        <v>2672</v>
      </c>
      <c r="F269" s="5279" t="s">
        <v>2673</v>
      </c>
      <c r="G269" s="5279" t="s">
        <v>28</v>
      </c>
      <c r="H269" s="5279" t="s">
        <v>28</v>
      </c>
      <c r="I269" s="5279" t="s">
        <v>944</v>
      </c>
    </row>
    <row customHeight="1" ht="11.25">
      <c r="A270" s="5279" t="s">
        <v>2344</v>
      </c>
      <c r="B270" s="5279" t="s">
        <v>16</v>
      </c>
      <c r="C270" s="5279" t="s">
        <v>3002</v>
      </c>
      <c r="D270" s="5279" t="s">
        <v>3003</v>
      </c>
      <c r="E270" s="5279" t="s">
        <v>3004</v>
      </c>
      <c r="F270" s="5279" t="s">
        <v>2405</v>
      </c>
      <c r="G270" s="5279" t="s">
        <v>28</v>
      </c>
      <c r="H270" s="5279" t="s">
        <v>28</v>
      </c>
      <c r="I270" s="5279" t="s">
        <v>944</v>
      </c>
    </row>
    <row customHeight="1" ht="11.25">
      <c r="A271" s="5279" t="s">
        <v>2344</v>
      </c>
      <c r="B271" s="5279" t="s">
        <v>16</v>
      </c>
      <c r="C271" s="5279" t="s">
        <v>2684</v>
      </c>
      <c r="D271" s="5279" t="s">
        <v>2685</v>
      </c>
      <c r="E271" s="5279" t="s">
        <v>2686</v>
      </c>
      <c r="F271" s="5279" t="s">
        <v>2687</v>
      </c>
      <c r="G271" s="5279" t="s">
        <v>28</v>
      </c>
      <c r="H271" s="5279" t="s">
        <v>28</v>
      </c>
      <c r="I271" s="5279" t="s">
        <v>944</v>
      </c>
    </row>
    <row customHeight="1" ht="11.25">
      <c r="A272" s="5279" t="s">
        <v>2344</v>
      </c>
      <c r="B272" s="5279" t="s">
        <v>16</v>
      </c>
      <c r="C272" s="5279" t="s">
        <v>3005</v>
      </c>
      <c r="D272" s="5279" t="s">
        <v>3006</v>
      </c>
      <c r="E272" s="5279" t="s">
        <v>3007</v>
      </c>
      <c r="F272" s="5279" t="s">
        <v>2376</v>
      </c>
      <c r="G272" s="5279" t="s">
        <v>28</v>
      </c>
      <c r="H272" s="5279" t="s">
        <v>28</v>
      </c>
      <c r="I272" s="5279" t="s">
        <v>944</v>
      </c>
    </row>
    <row customHeight="1" ht="11.25">
      <c r="A273" s="5279" t="s">
        <v>2344</v>
      </c>
      <c r="B273" s="5279" t="s">
        <v>16</v>
      </c>
      <c r="C273" s="5279" t="s">
        <v>3008</v>
      </c>
      <c r="D273" s="5279" t="s">
        <v>3009</v>
      </c>
      <c r="E273" s="5279" t="s">
        <v>3010</v>
      </c>
      <c r="F273" s="5279" t="s">
        <v>2578</v>
      </c>
      <c r="G273" s="5279" t="s">
        <v>28</v>
      </c>
      <c r="H273" s="5279" t="s">
        <v>28</v>
      </c>
      <c r="I273" s="5279" t="s">
        <v>944</v>
      </c>
    </row>
    <row customHeight="1" ht="11.25">
      <c r="A274" s="5279" t="s">
        <v>2344</v>
      </c>
      <c r="B274" s="5279" t="s">
        <v>16</v>
      </c>
      <c r="C274" s="5279" t="s">
        <v>3011</v>
      </c>
      <c r="D274" s="5279" t="s">
        <v>3012</v>
      </c>
      <c r="E274" s="5279" t="s">
        <v>3013</v>
      </c>
      <c r="F274" s="5279" t="s">
        <v>2351</v>
      </c>
      <c r="G274" s="5279" t="s">
        <v>28</v>
      </c>
      <c r="H274" s="5279" t="s">
        <v>28</v>
      </c>
      <c r="I274" s="5279" t="s">
        <v>944</v>
      </c>
    </row>
    <row customHeight="1" ht="11.25">
      <c r="A275" s="5279" t="s">
        <v>2344</v>
      </c>
      <c r="B275" s="5279" t="s">
        <v>16</v>
      </c>
      <c r="C275" s="5279" t="s">
        <v>3014</v>
      </c>
      <c r="D275" s="5279" t="s">
        <v>3015</v>
      </c>
      <c r="E275" s="5279" t="s">
        <v>3016</v>
      </c>
      <c r="F275" s="5279" t="s">
        <v>2673</v>
      </c>
      <c r="G275" s="5279" t="s">
        <v>28</v>
      </c>
      <c r="H275" s="5279" t="s">
        <v>28</v>
      </c>
      <c r="I275" s="5279" t="s">
        <v>944</v>
      </c>
    </row>
    <row customHeight="1" ht="11.25">
      <c r="A276" s="5279" t="s">
        <v>2344</v>
      </c>
      <c r="B276" s="5279" t="s">
        <v>16</v>
      </c>
      <c r="C276" s="5279" t="s">
        <v>3017</v>
      </c>
      <c r="D276" s="5279" t="s">
        <v>3018</v>
      </c>
      <c r="E276" s="5279" t="s">
        <v>3019</v>
      </c>
      <c r="F276" s="5279" t="s">
        <v>2450</v>
      </c>
      <c r="G276" s="5279" t="s">
        <v>28</v>
      </c>
      <c r="H276" s="5279" t="s">
        <v>28</v>
      </c>
      <c r="I276" s="5279" t="s">
        <v>944</v>
      </c>
    </row>
    <row customHeight="1" ht="11.25">
      <c r="A277" s="5279" t="s">
        <v>2344</v>
      </c>
      <c r="B277" s="5279" t="s">
        <v>16</v>
      </c>
      <c r="C277" s="5279" t="s">
        <v>3020</v>
      </c>
      <c r="D277" s="5279" t="s">
        <v>3021</v>
      </c>
      <c r="E277" s="5279" t="s">
        <v>3022</v>
      </c>
      <c r="F277" s="5279" t="s">
        <v>2347</v>
      </c>
      <c r="G277" s="5279" t="s">
        <v>28</v>
      </c>
      <c r="H277" s="5279" t="s">
        <v>28</v>
      </c>
      <c r="I277" s="5279" t="s">
        <v>944</v>
      </c>
    </row>
    <row customHeight="1" ht="11.25">
      <c r="A278" s="5279" t="s">
        <v>2344</v>
      </c>
      <c r="B278" s="5279" t="s">
        <v>16</v>
      </c>
      <c r="C278" s="5279" t="s">
        <v>3023</v>
      </c>
      <c r="D278" s="5279" t="s">
        <v>3024</v>
      </c>
      <c r="E278" s="5279" t="s">
        <v>3025</v>
      </c>
      <c r="F278" s="5279" t="s">
        <v>2405</v>
      </c>
      <c r="G278" s="5279" t="s">
        <v>28</v>
      </c>
      <c r="H278" s="5279" t="s">
        <v>28</v>
      </c>
      <c r="I278" s="5279" t="s">
        <v>944</v>
      </c>
    </row>
    <row customHeight="1" ht="11.25">
      <c r="A279" s="5279" t="s">
        <v>2344</v>
      </c>
      <c r="B279" s="5279" t="s">
        <v>16</v>
      </c>
      <c r="C279" s="5279" t="s">
        <v>3026</v>
      </c>
      <c r="D279" s="5279" t="s">
        <v>3027</v>
      </c>
      <c r="E279" s="5279" t="s">
        <v>3028</v>
      </c>
      <c r="F279" s="5279" t="s">
        <v>2396</v>
      </c>
      <c r="G279" s="5279" t="s">
        <v>3029</v>
      </c>
      <c r="H279" s="5279" t="s">
        <v>28</v>
      </c>
      <c r="I279" s="5279" t="s">
        <v>944</v>
      </c>
    </row>
    <row customHeight="1" ht="11.25">
      <c r="A280" s="5279" t="s">
        <v>2344</v>
      </c>
      <c r="B280" s="5279" t="s">
        <v>16</v>
      </c>
      <c r="C280" s="5279" t="s">
        <v>3030</v>
      </c>
      <c r="D280" s="5279" t="s">
        <v>3031</v>
      </c>
      <c r="E280" s="5279" t="s">
        <v>2346</v>
      </c>
      <c r="F280" s="5279" t="s">
        <v>2347</v>
      </c>
      <c r="G280" s="5279" t="s">
        <v>28</v>
      </c>
      <c r="H280" s="5279" t="s">
        <v>28</v>
      </c>
      <c r="I280" s="5279" t="s">
        <v>944</v>
      </c>
    </row>
    <row customHeight="1" ht="11.25">
      <c r="A281" s="5279" t="s">
        <v>2344</v>
      </c>
      <c r="B281" s="5279" t="s">
        <v>16</v>
      </c>
      <c r="C281" s="5279" t="s">
        <v>3032</v>
      </c>
      <c r="D281" s="5279" t="s">
        <v>3033</v>
      </c>
      <c r="E281" s="5279" t="s">
        <v>3034</v>
      </c>
      <c r="F281" s="5279" t="s">
        <v>2351</v>
      </c>
      <c r="G281" s="5279" t="s">
        <v>28</v>
      </c>
      <c r="H281" s="5279" t="s">
        <v>28</v>
      </c>
      <c r="I281" s="5279" t="s">
        <v>944</v>
      </c>
    </row>
    <row customHeight="1" ht="11.25">
      <c r="A282" s="5279" t="s">
        <v>2344</v>
      </c>
      <c r="B282" s="5279" t="s">
        <v>16</v>
      </c>
      <c r="C282" s="5279" t="s">
        <v>3035</v>
      </c>
      <c r="D282" s="5279" t="s">
        <v>3036</v>
      </c>
      <c r="E282" s="5279" t="s">
        <v>3037</v>
      </c>
      <c r="F282" s="5279" t="s">
        <v>2351</v>
      </c>
      <c r="G282" s="5279" t="s">
        <v>28</v>
      </c>
      <c r="H282" s="5279" t="s">
        <v>28</v>
      </c>
      <c r="I282" s="5279" t="s">
        <v>944</v>
      </c>
    </row>
    <row customHeight="1" ht="11.25">
      <c r="A283" s="5279" t="s">
        <v>2344</v>
      </c>
      <c r="B283" s="5279" t="s">
        <v>16</v>
      </c>
      <c r="C283" s="5279" t="s">
        <v>2691</v>
      </c>
      <c r="D283" s="5279" t="s">
        <v>2692</v>
      </c>
      <c r="E283" s="5279" t="s">
        <v>2693</v>
      </c>
      <c r="F283" s="5279" t="s">
        <v>2359</v>
      </c>
      <c r="G283" s="5279" t="s">
        <v>28</v>
      </c>
      <c r="H283" s="5279" t="s">
        <v>28</v>
      </c>
      <c r="I283" s="5279" t="s">
        <v>944</v>
      </c>
    </row>
    <row customHeight="1" ht="11.25">
      <c r="A284" s="5279" t="s">
        <v>2344</v>
      </c>
      <c r="B284" s="5279" t="s">
        <v>16</v>
      </c>
      <c r="C284" s="5279" t="s">
        <v>2702</v>
      </c>
      <c r="D284" s="5279" t="s">
        <v>2703</v>
      </c>
      <c r="E284" s="5279" t="s">
        <v>2704</v>
      </c>
      <c r="F284" s="5279" t="s">
        <v>2673</v>
      </c>
      <c r="G284" s="5279" t="s">
        <v>2705</v>
      </c>
      <c r="H284" s="5279" t="s">
        <v>28</v>
      </c>
      <c r="I284" s="5279" t="s">
        <v>944</v>
      </c>
    </row>
    <row customHeight="1" ht="11.25">
      <c r="A285" s="5279" t="s">
        <v>2344</v>
      </c>
      <c r="B285" s="5279" t="s">
        <v>16</v>
      </c>
      <c r="C285" s="5279" t="s">
        <v>2706</v>
      </c>
      <c r="D285" s="5279" t="s">
        <v>2707</v>
      </c>
      <c r="E285" s="5279" t="s">
        <v>2708</v>
      </c>
      <c r="F285" s="5279" t="s">
        <v>2396</v>
      </c>
      <c r="G285" s="5279" t="s">
        <v>2709</v>
      </c>
      <c r="H285" s="5279" t="s">
        <v>28</v>
      </c>
      <c r="I285" s="5279" t="s">
        <v>944</v>
      </c>
    </row>
    <row customHeight="1" ht="11.25">
      <c r="A286" s="5279" t="s">
        <v>2344</v>
      </c>
      <c r="B286" s="5279" t="s">
        <v>16</v>
      </c>
      <c r="C286" s="5279" t="s">
        <v>3038</v>
      </c>
      <c r="D286" s="5279" t="s">
        <v>3039</v>
      </c>
      <c r="E286" s="5279" t="s">
        <v>3040</v>
      </c>
      <c r="F286" s="5279" t="s">
        <v>2450</v>
      </c>
      <c r="G286" s="5279" t="s">
        <v>28</v>
      </c>
      <c r="H286" s="5279" t="s">
        <v>28</v>
      </c>
      <c r="I286" s="5279" t="s">
        <v>944</v>
      </c>
    </row>
    <row customHeight="1" ht="11.25">
      <c r="A287" s="5279" t="s">
        <v>2344</v>
      </c>
      <c r="B287" s="5279" t="s">
        <v>16</v>
      </c>
      <c r="C287" s="5279" t="s">
        <v>3041</v>
      </c>
      <c r="D287" s="5279" t="s">
        <v>3042</v>
      </c>
      <c r="E287" s="5279" t="s">
        <v>3043</v>
      </c>
      <c r="F287" s="5279" t="s">
        <v>2578</v>
      </c>
      <c r="G287" s="5279" t="s">
        <v>28</v>
      </c>
      <c r="H287" s="5279" t="s">
        <v>28</v>
      </c>
      <c r="I287" s="5279" t="s">
        <v>944</v>
      </c>
    </row>
    <row customHeight="1" ht="11.25">
      <c r="A288" s="5279" t="s">
        <v>2344</v>
      </c>
      <c r="B288" s="5279" t="s">
        <v>16</v>
      </c>
      <c r="C288" s="5279" t="s">
        <v>3044</v>
      </c>
      <c r="D288" s="5279" t="s">
        <v>3045</v>
      </c>
      <c r="E288" s="5279" t="s">
        <v>3046</v>
      </c>
      <c r="F288" s="5279" t="s">
        <v>3047</v>
      </c>
      <c r="G288" s="5279" t="s">
        <v>28</v>
      </c>
      <c r="H288" s="5279" t="s">
        <v>28</v>
      </c>
      <c r="I288" s="5279" t="s">
        <v>944</v>
      </c>
    </row>
    <row customHeight="1" ht="11.25">
      <c r="A289" s="5279" t="s">
        <v>2344</v>
      </c>
      <c r="B289" s="5279" t="s">
        <v>16</v>
      </c>
      <c r="C289" s="5279" t="s">
        <v>3048</v>
      </c>
      <c r="D289" s="5279" t="s">
        <v>3049</v>
      </c>
      <c r="E289" s="5279" t="s">
        <v>3050</v>
      </c>
      <c r="F289" s="5279" t="s">
        <v>2479</v>
      </c>
      <c r="G289" s="5279" t="s">
        <v>28</v>
      </c>
      <c r="H289" s="5279" t="s">
        <v>28</v>
      </c>
      <c r="I289" s="5279" t="s">
        <v>944</v>
      </c>
    </row>
    <row customHeight="1" ht="11.25">
      <c r="A290" s="5279" t="s">
        <v>2344</v>
      </c>
      <c r="B290" s="5279" t="s">
        <v>16</v>
      </c>
      <c r="C290" s="5279" t="s">
        <v>2720</v>
      </c>
      <c r="D290" s="5279" t="s">
        <v>2721</v>
      </c>
      <c r="E290" s="5279" t="s">
        <v>2722</v>
      </c>
      <c r="F290" s="5279" t="s">
        <v>2547</v>
      </c>
      <c r="G290" s="5279" t="s">
        <v>28</v>
      </c>
      <c r="H290" s="5279" t="s">
        <v>28</v>
      </c>
      <c r="I290" s="5279" t="s">
        <v>944</v>
      </c>
    </row>
    <row customHeight="1" ht="11.25">
      <c r="A291" s="5279" t="s">
        <v>2344</v>
      </c>
      <c r="B291" s="5279" t="s">
        <v>16</v>
      </c>
      <c r="C291" s="5279" t="s">
        <v>2723</v>
      </c>
      <c r="D291" s="5279" t="s">
        <v>2724</v>
      </c>
      <c r="E291" s="5279" t="s">
        <v>2725</v>
      </c>
      <c r="F291" s="5279" t="s">
        <v>2726</v>
      </c>
      <c r="G291" s="5279" t="s">
        <v>2727</v>
      </c>
      <c r="H291" s="5279" t="s">
        <v>28</v>
      </c>
      <c r="I291" s="5279" t="s">
        <v>944</v>
      </c>
    </row>
    <row customHeight="1" ht="11.25">
      <c r="A292" s="5279" t="s">
        <v>2344</v>
      </c>
      <c r="B292" s="5279" t="s">
        <v>16</v>
      </c>
      <c r="C292" s="5279" t="s">
        <v>2728</v>
      </c>
      <c r="D292" s="5279" t="s">
        <v>2729</v>
      </c>
      <c r="E292" s="5279" t="s">
        <v>2730</v>
      </c>
      <c r="F292" s="5279" t="s">
        <v>2547</v>
      </c>
      <c r="G292" s="5279" t="s">
        <v>28</v>
      </c>
      <c r="H292" s="5279" t="s">
        <v>28</v>
      </c>
      <c r="I292" s="5279" t="s">
        <v>944</v>
      </c>
    </row>
    <row customHeight="1" ht="11.25">
      <c r="A293" s="5279" t="s">
        <v>2344</v>
      </c>
      <c r="B293" s="5279" t="s">
        <v>16</v>
      </c>
      <c r="C293" s="5279" t="s">
        <v>2734</v>
      </c>
      <c r="D293" s="5279" t="s">
        <v>2735</v>
      </c>
      <c r="E293" s="5279" t="s">
        <v>2736</v>
      </c>
      <c r="F293" s="5279" t="s">
        <v>2479</v>
      </c>
      <c r="G293" s="5279" t="s">
        <v>28</v>
      </c>
      <c r="H293" s="5279" t="s">
        <v>28</v>
      </c>
      <c r="I293" s="5279" t="s">
        <v>944</v>
      </c>
    </row>
    <row customHeight="1" ht="11.25">
      <c r="A294" s="5279" t="s">
        <v>2344</v>
      </c>
      <c r="B294" s="5279" t="s">
        <v>16</v>
      </c>
      <c r="C294" s="5279" t="s">
        <v>3051</v>
      </c>
      <c r="D294" s="5279" t="s">
        <v>3052</v>
      </c>
      <c r="E294" s="5279" t="s">
        <v>3053</v>
      </c>
      <c r="F294" s="5279" t="s">
        <v>2864</v>
      </c>
      <c r="G294" s="5279" t="s">
        <v>28</v>
      </c>
      <c r="H294" s="5279" t="s">
        <v>28</v>
      </c>
      <c r="I294" s="5279" t="s">
        <v>944</v>
      </c>
    </row>
    <row customHeight="1" ht="11.25">
      <c r="A295" s="5279" t="s">
        <v>2344</v>
      </c>
      <c r="B295" s="5279" t="s">
        <v>16</v>
      </c>
      <c r="C295" s="5279" t="s">
        <v>3054</v>
      </c>
      <c r="D295" s="5279" t="s">
        <v>3055</v>
      </c>
      <c r="E295" s="5279" t="s">
        <v>3056</v>
      </c>
      <c r="F295" s="5279" t="s">
        <v>2864</v>
      </c>
      <c r="G295" s="5279" t="s">
        <v>28</v>
      </c>
      <c r="H295" s="5279" t="s">
        <v>28</v>
      </c>
      <c r="I295" s="5279" t="s">
        <v>944</v>
      </c>
    </row>
    <row customHeight="1" ht="11.25">
      <c r="A296" s="5279" t="s">
        <v>2344</v>
      </c>
      <c r="B296" s="5279" t="s">
        <v>16</v>
      </c>
      <c r="C296" s="5279" t="s">
        <v>3057</v>
      </c>
      <c r="D296" s="5279" t="s">
        <v>3058</v>
      </c>
      <c r="E296" s="5279" t="s">
        <v>3059</v>
      </c>
      <c r="F296" s="5279" t="s">
        <v>2376</v>
      </c>
      <c r="G296" s="5279" t="s">
        <v>28</v>
      </c>
      <c r="H296" s="5279" t="s">
        <v>28</v>
      </c>
      <c r="I296" s="5279" t="s">
        <v>944</v>
      </c>
    </row>
    <row customHeight="1" ht="11.25">
      <c r="A297" s="5279" t="s">
        <v>2344</v>
      </c>
      <c r="B297" s="5279" t="s">
        <v>16</v>
      </c>
      <c r="C297" s="5279" t="s">
        <v>3060</v>
      </c>
      <c r="D297" s="5279" t="s">
        <v>3061</v>
      </c>
      <c r="E297" s="5279" t="s">
        <v>3062</v>
      </c>
      <c r="F297" s="5279" t="s">
        <v>2743</v>
      </c>
      <c r="G297" s="5279" t="s">
        <v>28</v>
      </c>
      <c r="H297" s="5279" t="s">
        <v>28</v>
      </c>
      <c r="I297" s="5279" t="s">
        <v>944</v>
      </c>
    </row>
    <row customHeight="1" ht="11.25">
      <c r="A298" s="5279" t="s">
        <v>2344</v>
      </c>
      <c r="B298" s="5279" t="s">
        <v>16</v>
      </c>
      <c r="C298" s="5279" t="s">
        <v>3063</v>
      </c>
      <c r="D298" s="5279" t="s">
        <v>3064</v>
      </c>
      <c r="E298" s="5279" t="s">
        <v>3065</v>
      </c>
      <c r="F298" s="5279" t="s">
        <v>2533</v>
      </c>
      <c r="G298" s="5279" t="s">
        <v>28</v>
      </c>
      <c r="H298" s="5279" t="s">
        <v>28</v>
      </c>
      <c r="I298" s="5279" t="s">
        <v>944</v>
      </c>
    </row>
    <row customHeight="1" ht="11.25">
      <c r="A299" s="5279" t="s">
        <v>2344</v>
      </c>
      <c r="B299" s="5279" t="s">
        <v>16</v>
      </c>
      <c r="C299" s="5279" t="s">
        <v>2740</v>
      </c>
      <c r="D299" s="5279" t="s">
        <v>2741</v>
      </c>
      <c r="E299" s="5279" t="s">
        <v>2742</v>
      </c>
      <c r="F299" s="5279" t="s">
        <v>2743</v>
      </c>
      <c r="G299" s="5279" t="s">
        <v>28</v>
      </c>
      <c r="H299" s="5279" t="s">
        <v>28</v>
      </c>
      <c r="I299" s="5279" t="s">
        <v>944</v>
      </c>
    </row>
    <row customHeight="1" ht="11.25">
      <c r="A300" s="5279" t="s">
        <v>2344</v>
      </c>
      <c r="B300" s="5279" t="s">
        <v>16</v>
      </c>
      <c r="C300" s="5279" t="s">
        <v>3066</v>
      </c>
      <c r="D300" s="5279" t="s">
        <v>3067</v>
      </c>
      <c r="E300" s="5279" t="s">
        <v>3068</v>
      </c>
      <c r="F300" s="5279" t="s">
        <v>2479</v>
      </c>
      <c r="G300" s="5279" t="s">
        <v>28</v>
      </c>
      <c r="H300" s="5279" t="s">
        <v>28</v>
      </c>
      <c r="I300" s="5279" t="s">
        <v>944</v>
      </c>
    </row>
    <row customHeight="1" ht="11.25">
      <c r="A301" s="5279" t="s">
        <v>2344</v>
      </c>
      <c r="B301" s="5279" t="s">
        <v>16</v>
      </c>
      <c r="C301" s="5279" t="s">
        <v>3069</v>
      </c>
      <c r="D301" s="5279" t="s">
        <v>3070</v>
      </c>
      <c r="E301" s="5279" t="s">
        <v>3071</v>
      </c>
      <c r="F301" s="5279" t="s">
        <v>2923</v>
      </c>
      <c r="G301" s="5279" t="s">
        <v>3072</v>
      </c>
      <c r="H301" s="5279" t="s">
        <v>28</v>
      </c>
      <c r="I301" s="5279" t="s">
        <v>944</v>
      </c>
    </row>
    <row customHeight="1" ht="11.25">
      <c r="A302" s="5279" t="s">
        <v>2344</v>
      </c>
      <c r="B302" s="5279" t="s">
        <v>16</v>
      </c>
      <c r="C302" s="5279" t="s">
        <v>3073</v>
      </c>
      <c r="D302" s="5279" t="s">
        <v>3074</v>
      </c>
      <c r="E302" s="5279" t="s">
        <v>3075</v>
      </c>
      <c r="F302" s="5279" t="s">
        <v>2450</v>
      </c>
      <c r="G302" s="5279" t="s">
        <v>28</v>
      </c>
      <c r="H302" s="5279" t="s">
        <v>28</v>
      </c>
      <c r="I302" s="5279" t="s">
        <v>944</v>
      </c>
    </row>
    <row customHeight="1" ht="11.25">
      <c r="A303" s="5279" t="s">
        <v>2344</v>
      </c>
      <c r="B303" s="5279" t="s">
        <v>16</v>
      </c>
      <c r="C303" s="5279" t="s">
        <v>3076</v>
      </c>
      <c r="D303" s="5279" t="s">
        <v>3077</v>
      </c>
      <c r="E303" s="5279" t="s">
        <v>3078</v>
      </c>
      <c r="F303" s="5279" t="s">
        <v>2471</v>
      </c>
      <c r="G303" s="5279" t="s">
        <v>28</v>
      </c>
      <c r="H303" s="5279" t="s">
        <v>28</v>
      </c>
      <c r="I303" s="5279" t="s">
        <v>944</v>
      </c>
    </row>
    <row customHeight="1" ht="11.25">
      <c r="A304" s="5279" t="s">
        <v>2344</v>
      </c>
      <c r="B304" s="5279" t="s">
        <v>16</v>
      </c>
      <c r="C304" s="5279" t="s">
        <v>3079</v>
      </c>
      <c r="D304" s="5279" t="s">
        <v>3080</v>
      </c>
      <c r="E304" s="5279" t="s">
        <v>3081</v>
      </c>
      <c r="F304" s="5279" t="s">
        <v>2351</v>
      </c>
      <c r="G304" s="5279" t="s">
        <v>28</v>
      </c>
      <c r="H304" s="5279" t="s">
        <v>28</v>
      </c>
      <c r="I304" s="5279" t="s">
        <v>944</v>
      </c>
    </row>
    <row customHeight="1" ht="11.25">
      <c r="A305" s="5279" t="s">
        <v>2344</v>
      </c>
      <c r="B305" s="5279" t="s">
        <v>16</v>
      </c>
      <c r="C305" s="5279" t="s">
        <v>3082</v>
      </c>
      <c r="D305" s="5279" t="s">
        <v>3083</v>
      </c>
      <c r="E305" s="5279" t="s">
        <v>3084</v>
      </c>
      <c r="F305" s="5279" t="s">
        <v>2505</v>
      </c>
      <c r="G305" s="5279" t="s">
        <v>28</v>
      </c>
      <c r="H305" s="5279" t="s">
        <v>28</v>
      </c>
      <c r="I305" s="5279" t="s">
        <v>944</v>
      </c>
    </row>
    <row customHeight="1" ht="11.25">
      <c r="A306" s="5279" t="s">
        <v>2344</v>
      </c>
      <c r="B306" s="5279" t="s">
        <v>16</v>
      </c>
      <c r="C306" s="5279" t="s">
        <v>3085</v>
      </c>
      <c r="D306" s="5279" t="s">
        <v>3086</v>
      </c>
      <c r="E306" s="5279" t="s">
        <v>3087</v>
      </c>
      <c r="F306" s="5279" t="s">
        <v>2864</v>
      </c>
      <c r="G306" s="5279" t="s">
        <v>3088</v>
      </c>
      <c r="H306" s="5279" t="s">
        <v>28</v>
      </c>
      <c r="I306" s="5279" t="s">
        <v>944</v>
      </c>
    </row>
    <row customHeight="1" ht="11.25">
      <c r="A307" s="5279" t="s">
        <v>2344</v>
      </c>
      <c r="B307" s="5279" t="s">
        <v>16</v>
      </c>
      <c r="C307" s="5279" t="s">
        <v>3089</v>
      </c>
      <c r="D307" s="5279" t="s">
        <v>3090</v>
      </c>
      <c r="E307" s="5279" t="s">
        <v>3091</v>
      </c>
      <c r="F307" s="5279" t="s">
        <v>2405</v>
      </c>
      <c r="G307" s="5279" t="s">
        <v>28</v>
      </c>
      <c r="H307" s="5279" t="s">
        <v>28</v>
      </c>
      <c r="I307" s="5279" t="s">
        <v>944</v>
      </c>
    </row>
    <row customHeight="1" ht="11.25">
      <c r="A308" s="5279" t="s">
        <v>2344</v>
      </c>
      <c r="B308" s="5279" t="s">
        <v>16</v>
      </c>
      <c r="C308" s="5279" t="s">
        <v>2770</v>
      </c>
      <c r="D308" s="5279" t="s">
        <v>2771</v>
      </c>
      <c r="E308" s="5279" t="s">
        <v>2772</v>
      </c>
      <c r="F308" s="5279" t="s">
        <v>2376</v>
      </c>
      <c r="G308" s="5279" t="s">
        <v>28</v>
      </c>
      <c r="H308" s="5279" t="s">
        <v>28</v>
      </c>
      <c r="I308" s="5279" t="s">
        <v>944</v>
      </c>
    </row>
    <row customHeight="1" ht="11.25">
      <c r="A309" s="5279" t="s">
        <v>2344</v>
      </c>
      <c r="B309" s="5279" t="s">
        <v>16</v>
      </c>
      <c r="C309" s="5279" t="s">
        <v>28</v>
      </c>
      <c r="D309" s="5279" t="s">
        <v>2345</v>
      </c>
      <c r="E309" s="5279" t="s">
        <v>2346</v>
      </c>
      <c r="F309" s="5279" t="s">
        <v>2347</v>
      </c>
      <c r="G309" s="5279" t="s">
        <v>28</v>
      </c>
      <c r="H309" s="5279" t="s">
        <v>28</v>
      </c>
      <c r="I309" s="5279" t="s">
        <v>997</v>
      </c>
    </row>
    <row customHeight="1" ht="11.25">
      <c r="A310" s="5279" t="s">
        <v>2344</v>
      </c>
      <c r="B310" s="5279" t="s">
        <v>16</v>
      </c>
      <c r="C310" s="5279" t="s">
        <v>2348</v>
      </c>
      <c r="D310" s="5279" t="s">
        <v>2349</v>
      </c>
      <c r="E310" s="5279" t="s">
        <v>2350</v>
      </c>
      <c r="F310" s="5279" t="s">
        <v>2351</v>
      </c>
      <c r="G310" s="5279" t="s">
        <v>28</v>
      </c>
      <c r="H310" s="5279" t="s">
        <v>28</v>
      </c>
      <c r="I310" s="5279" t="s">
        <v>997</v>
      </c>
    </row>
    <row customHeight="1" ht="11.25">
      <c r="A311" s="5279" t="s">
        <v>2344</v>
      </c>
      <c r="B311" s="5279" t="s">
        <v>16</v>
      </c>
      <c r="C311" s="5279" t="s">
        <v>2356</v>
      </c>
      <c r="D311" s="5279" t="s">
        <v>2357</v>
      </c>
      <c r="E311" s="5279" t="s">
        <v>2358</v>
      </c>
      <c r="F311" s="5279" t="s">
        <v>2359</v>
      </c>
      <c r="G311" s="5279" t="s">
        <v>28</v>
      </c>
      <c r="H311" s="5279" t="s">
        <v>28</v>
      </c>
      <c r="I311" s="5279" t="s">
        <v>997</v>
      </c>
    </row>
    <row customHeight="1" ht="11.25">
      <c r="A312" s="5279" t="s">
        <v>2344</v>
      </c>
      <c r="B312" s="5279" t="s">
        <v>16</v>
      </c>
      <c r="C312" s="5279" t="s">
        <v>2364</v>
      </c>
      <c r="D312" s="5279" t="s">
        <v>2361</v>
      </c>
      <c r="E312" s="5279" t="s">
        <v>2362</v>
      </c>
      <c r="F312" s="5279" t="s">
        <v>2365</v>
      </c>
      <c r="G312" s="5279" t="s">
        <v>2366</v>
      </c>
      <c r="H312" s="5279" t="s">
        <v>28</v>
      </c>
      <c r="I312" s="5279" t="s">
        <v>997</v>
      </c>
    </row>
    <row customHeight="1" ht="11.25">
      <c r="A313" s="5279" t="s">
        <v>2344</v>
      </c>
      <c r="B313" s="5279" t="s">
        <v>16</v>
      </c>
      <c r="C313" s="5279" t="s">
        <v>2373</v>
      </c>
      <c r="D313" s="5279" t="s">
        <v>2374</v>
      </c>
      <c r="E313" s="5279" t="s">
        <v>2375</v>
      </c>
      <c r="F313" s="5279" t="s">
        <v>2376</v>
      </c>
      <c r="G313" s="5279" t="s">
        <v>28</v>
      </c>
      <c r="H313" s="5279" t="s">
        <v>28</v>
      </c>
      <c r="I313" s="5279" t="s">
        <v>997</v>
      </c>
    </row>
    <row customHeight="1" ht="11.25">
      <c r="A314" s="5279" t="s">
        <v>2344</v>
      </c>
      <c r="B314" s="5279" t="s">
        <v>16</v>
      </c>
      <c r="C314" s="5279" t="s">
        <v>2381</v>
      </c>
      <c r="D314" s="5279" t="s">
        <v>2382</v>
      </c>
      <c r="E314" s="5279" t="s">
        <v>2383</v>
      </c>
      <c r="F314" s="5279" t="s">
        <v>2384</v>
      </c>
      <c r="G314" s="5279" t="s">
        <v>28</v>
      </c>
      <c r="H314" s="5279" t="s">
        <v>28</v>
      </c>
      <c r="I314" s="5279" t="s">
        <v>997</v>
      </c>
    </row>
    <row customHeight="1" ht="11.25">
      <c r="A315" s="5279" t="s">
        <v>2344</v>
      </c>
      <c r="B315" s="5279" t="s">
        <v>16</v>
      </c>
      <c r="C315" s="5279" t="s">
        <v>2795</v>
      </c>
      <c r="D315" s="5279" t="s">
        <v>2796</v>
      </c>
      <c r="E315" s="5279" t="s">
        <v>2797</v>
      </c>
      <c r="F315" s="5279" t="s">
        <v>2591</v>
      </c>
      <c r="G315" s="5279" t="s">
        <v>2798</v>
      </c>
      <c r="H315" s="5279" t="s">
        <v>28</v>
      </c>
      <c r="I315" s="5279" t="s">
        <v>997</v>
      </c>
    </row>
    <row customHeight="1" ht="11.25">
      <c r="A316" s="5279" t="s">
        <v>2344</v>
      </c>
      <c r="B316" s="5279" t="s">
        <v>16</v>
      </c>
      <c r="C316" s="5279" t="s">
        <v>3092</v>
      </c>
      <c r="D316" s="5279" t="s">
        <v>3093</v>
      </c>
      <c r="E316" s="5279" t="s">
        <v>3094</v>
      </c>
      <c r="F316" s="5279" t="s">
        <v>2347</v>
      </c>
      <c r="G316" s="5279" t="s">
        <v>28</v>
      </c>
      <c r="H316" s="5279" t="s">
        <v>28</v>
      </c>
      <c r="I316" s="5279" t="s">
        <v>997</v>
      </c>
    </row>
    <row customHeight="1" ht="11.25">
      <c r="A317" s="5279" t="s">
        <v>2344</v>
      </c>
      <c r="B317" s="5279" t="s">
        <v>16</v>
      </c>
      <c r="C317" s="5279" t="s">
        <v>2390</v>
      </c>
      <c r="D317" s="5279" t="s">
        <v>2391</v>
      </c>
      <c r="E317" s="5279" t="s">
        <v>2392</v>
      </c>
      <c r="F317" s="5279" t="s">
        <v>2355</v>
      </c>
      <c r="G317" s="5279" t="s">
        <v>28</v>
      </c>
      <c r="H317" s="5279" t="s">
        <v>28</v>
      </c>
      <c r="I317" s="5279" t="s">
        <v>997</v>
      </c>
    </row>
    <row customHeight="1" ht="11.25">
      <c r="A318" s="5279" t="s">
        <v>2344</v>
      </c>
      <c r="B318" s="5279" t="s">
        <v>16</v>
      </c>
      <c r="C318" s="5279" t="s">
        <v>2393</v>
      </c>
      <c r="D318" s="5279" t="s">
        <v>2394</v>
      </c>
      <c r="E318" s="5279" t="s">
        <v>2395</v>
      </c>
      <c r="F318" s="5279" t="s">
        <v>2396</v>
      </c>
      <c r="G318" s="5279" t="s">
        <v>28</v>
      </c>
      <c r="H318" s="5279" t="s">
        <v>28</v>
      </c>
      <c r="I318" s="5279" t="s">
        <v>997</v>
      </c>
    </row>
    <row customHeight="1" ht="11.25">
      <c r="A319" s="5279" t="s">
        <v>2344</v>
      </c>
      <c r="B319" s="5279" t="s">
        <v>16</v>
      </c>
      <c r="C319" s="5279" t="s">
        <v>2799</v>
      </c>
      <c r="D319" s="5279" t="s">
        <v>2800</v>
      </c>
      <c r="E319" s="5279" t="s">
        <v>2801</v>
      </c>
      <c r="F319" s="5279" t="s">
        <v>2376</v>
      </c>
      <c r="G319" s="5279" t="s">
        <v>2802</v>
      </c>
      <c r="H319" s="5279" t="s">
        <v>28</v>
      </c>
      <c r="I319" s="5279" t="s">
        <v>997</v>
      </c>
    </row>
    <row customHeight="1" ht="11.25">
      <c r="A320" s="5279" t="s">
        <v>2344</v>
      </c>
      <c r="B320" s="5279" t="s">
        <v>16</v>
      </c>
      <c r="C320" s="5279" t="s">
        <v>2803</v>
      </c>
      <c r="D320" s="5279" t="s">
        <v>2804</v>
      </c>
      <c r="E320" s="5279" t="s">
        <v>2805</v>
      </c>
      <c r="F320" s="5279" t="s">
        <v>2355</v>
      </c>
      <c r="G320" s="5279" t="s">
        <v>28</v>
      </c>
      <c r="H320" s="5279" t="s">
        <v>28</v>
      </c>
      <c r="I320" s="5279" t="s">
        <v>997</v>
      </c>
    </row>
    <row customHeight="1" ht="11.25">
      <c r="A321" s="5279" t="s">
        <v>2344</v>
      </c>
      <c r="B321" s="5279" t="s">
        <v>16</v>
      </c>
      <c r="C321" s="5279" t="s">
        <v>2410</v>
      </c>
      <c r="D321" s="5279" t="s">
        <v>2411</v>
      </c>
      <c r="E321" s="5279" t="s">
        <v>2412</v>
      </c>
      <c r="F321" s="5279" t="s">
        <v>2413</v>
      </c>
      <c r="G321" s="5279" t="s">
        <v>28</v>
      </c>
      <c r="H321" s="5279" t="s">
        <v>28</v>
      </c>
      <c r="I321" s="5279" t="s">
        <v>997</v>
      </c>
    </row>
    <row customHeight="1" ht="11.25">
      <c r="A322" s="5279" t="s">
        <v>2344</v>
      </c>
      <c r="B322" s="5279" t="s">
        <v>16</v>
      </c>
      <c r="C322" s="5279" t="s">
        <v>2806</v>
      </c>
      <c r="D322" s="5279" t="s">
        <v>2807</v>
      </c>
      <c r="E322" s="5279" t="s">
        <v>2808</v>
      </c>
      <c r="F322" s="5279" t="s">
        <v>2769</v>
      </c>
      <c r="G322" s="5279" t="s">
        <v>2809</v>
      </c>
      <c r="H322" s="5279" t="s">
        <v>28</v>
      </c>
      <c r="I322" s="5279" t="s">
        <v>997</v>
      </c>
    </row>
    <row customHeight="1" ht="11.25">
      <c r="A323" s="5279" t="s">
        <v>2344</v>
      </c>
      <c r="B323" s="5279" t="s">
        <v>16</v>
      </c>
      <c r="C323" s="5279" t="s">
        <v>2422</v>
      </c>
      <c r="D323" s="5279" t="s">
        <v>2423</v>
      </c>
      <c r="E323" s="5279" t="s">
        <v>2424</v>
      </c>
      <c r="F323" s="5279" t="s">
        <v>2347</v>
      </c>
      <c r="G323" s="5279" t="s">
        <v>2425</v>
      </c>
      <c r="H323" s="5279" t="s">
        <v>28</v>
      </c>
      <c r="I323" s="5279" t="s">
        <v>997</v>
      </c>
    </row>
    <row customHeight="1" ht="11.25">
      <c r="A324" s="5279" t="s">
        <v>2344</v>
      </c>
      <c r="B324" s="5279" t="s">
        <v>16</v>
      </c>
      <c r="C324" s="5279" t="s">
        <v>2810</v>
      </c>
      <c r="D324" s="5279" t="s">
        <v>2811</v>
      </c>
      <c r="E324" s="5279" t="s">
        <v>2812</v>
      </c>
      <c r="F324" s="5279" t="s">
        <v>2813</v>
      </c>
      <c r="G324" s="5279" t="s">
        <v>28</v>
      </c>
      <c r="H324" s="5279" t="s">
        <v>28</v>
      </c>
      <c r="I324" s="5279" t="s">
        <v>997</v>
      </c>
    </row>
    <row customHeight="1" ht="11.25">
      <c r="A325" s="5279" t="s">
        <v>2344</v>
      </c>
      <c r="B325" s="5279" t="s">
        <v>16</v>
      </c>
      <c r="C325" s="5279" t="s">
        <v>2444</v>
      </c>
      <c r="D325" s="5279" t="s">
        <v>2445</v>
      </c>
      <c r="E325" s="5279" t="s">
        <v>2442</v>
      </c>
      <c r="F325" s="5279" t="s">
        <v>2446</v>
      </c>
      <c r="G325" s="5279" t="s">
        <v>28</v>
      </c>
      <c r="H325" s="5279" t="s">
        <v>28</v>
      </c>
      <c r="I325" s="5279" t="s">
        <v>997</v>
      </c>
    </row>
    <row customHeight="1" ht="11.25">
      <c r="A326" s="5279" t="s">
        <v>2344</v>
      </c>
      <c r="B326" s="5279" t="s">
        <v>16</v>
      </c>
      <c r="C326" s="5279" t="s">
        <v>2814</v>
      </c>
      <c r="D326" s="5279" t="s">
        <v>2815</v>
      </c>
      <c r="E326" s="5279" t="s">
        <v>2816</v>
      </c>
      <c r="F326" s="5279" t="s">
        <v>2479</v>
      </c>
      <c r="G326" s="5279" t="s">
        <v>28</v>
      </c>
      <c r="H326" s="5279" t="s">
        <v>28</v>
      </c>
      <c r="I326" s="5279" t="s">
        <v>997</v>
      </c>
    </row>
    <row customHeight="1" ht="11.25">
      <c r="A327" s="5279" t="s">
        <v>2344</v>
      </c>
      <c r="B327" s="5279" t="s">
        <v>16</v>
      </c>
      <c r="C327" s="5279" t="s">
        <v>2820</v>
      </c>
      <c r="D327" s="5279" t="s">
        <v>2821</v>
      </c>
      <c r="E327" s="5279" t="s">
        <v>2822</v>
      </c>
      <c r="F327" s="5279" t="s">
        <v>666</v>
      </c>
      <c r="G327" s="5279" t="s">
        <v>28</v>
      </c>
      <c r="H327" s="5279" t="s">
        <v>28</v>
      </c>
      <c r="I327" s="5279" t="s">
        <v>997</v>
      </c>
    </row>
    <row customHeight="1" ht="11.25">
      <c r="A328" s="5279" t="s">
        <v>2344</v>
      </c>
      <c r="B328" s="5279" t="s">
        <v>16</v>
      </c>
      <c r="C328" s="5279" t="s">
        <v>13</v>
      </c>
      <c r="D328" s="5279" t="s">
        <v>47</v>
      </c>
      <c r="E328" s="5279" t="s">
        <v>50</v>
      </c>
      <c r="F328" s="5279" t="s">
        <v>52</v>
      </c>
      <c r="G328" s="5279" t="s">
        <v>28</v>
      </c>
      <c r="H328" s="5279" t="s">
        <v>28</v>
      </c>
      <c r="I328" s="5279" t="s">
        <v>997</v>
      </c>
    </row>
    <row customHeight="1" ht="11.25">
      <c r="A329" s="5279" t="s">
        <v>2344</v>
      </c>
      <c r="B329" s="5279" t="s">
        <v>16</v>
      </c>
      <c r="C329" s="5279" t="s">
        <v>2776</v>
      </c>
      <c r="D329" s="5279" t="s">
        <v>47</v>
      </c>
      <c r="E329" s="5279" t="s">
        <v>50</v>
      </c>
      <c r="F329" s="5279" t="s">
        <v>2777</v>
      </c>
      <c r="G329" s="5279" t="s">
        <v>28</v>
      </c>
      <c r="H329" s="5279" t="s">
        <v>28</v>
      </c>
      <c r="I329" s="5279" t="s">
        <v>997</v>
      </c>
    </row>
    <row customHeight="1" ht="11.25">
      <c r="A330" s="5279" t="s">
        <v>2344</v>
      </c>
      <c r="B330" s="5279" t="s">
        <v>16</v>
      </c>
      <c r="C330" s="5279" t="s">
        <v>2778</v>
      </c>
      <c r="D330" s="5279" t="s">
        <v>47</v>
      </c>
      <c r="E330" s="5279" t="s">
        <v>50</v>
      </c>
      <c r="F330" s="5279" t="s">
        <v>2779</v>
      </c>
      <c r="G330" s="5279" t="s">
        <v>28</v>
      </c>
      <c r="H330" s="5279" t="s">
        <v>28</v>
      </c>
      <c r="I330" s="5279" t="s">
        <v>997</v>
      </c>
    </row>
    <row customHeight="1" ht="11.25">
      <c r="A331" s="5279" t="s">
        <v>2344</v>
      </c>
      <c r="B331" s="5279" t="s">
        <v>16</v>
      </c>
      <c r="C331" s="5279" t="s">
        <v>2780</v>
      </c>
      <c r="D331" s="5279" t="s">
        <v>47</v>
      </c>
      <c r="E331" s="5279" t="s">
        <v>50</v>
      </c>
      <c r="F331" s="5279" t="s">
        <v>2781</v>
      </c>
      <c r="G331" s="5279" t="s">
        <v>28</v>
      </c>
      <c r="H331" s="5279" t="s">
        <v>28</v>
      </c>
      <c r="I331" s="5279" t="s">
        <v>997</v>
      </c>
    </row>
    <row customHeight="1" ht="11.25">
      <c r="A332" s="5279" t="s">
        <v>2344</v>
      </c>
      <c r="B332" s="5279" t="s">
        <v>16</v>
      </c>
      <c r="C332" s="5279" t="s">
        <v>2826</v>
      </c>
      <c r="D332" s="5279" t="s">
        <v>47</v>
      </c>
      <c r="E332" s="5279" t="s">
        <v>50</v>
      </c>
      <c r="F332" s="5279" t="s">
        <v>2827</v>
      </c>
      <c r="G332" s="5279" t="s">
        <v>28</v>
      </c>
      <c r="H332" s="5279" t="s">
        <v>28</v>
      </c>
      <c r="I332" s="5279" t="s">
        <v>997</v>
      </c>
    </row>
    <row customHeight="1" ht="11.25">
      <c r="A333" s="5279" t="s">
        <v>2344</v>
      </c>
      <c r="B333" s="5279" t="s">
        <v>16</v>
      </c>
      <c r="C333" s="5279" t="s">
        <v>2782</v>
      </c>
      <c r="D333" s="5279" t="s">
        <v>47</v>
      </c>
      <c r="E333" s="5279" t="s">
        <v>50</v>
      </c>
      <c r="F333" s="5279" t="s">
        <v>2783</v>
      </c>
      <c r="G333" s="5279" t="s">
        <v>28</v>
      </c>
      <c r="H333" s="5279" t="s">
        <v>28</v>
      </c>
      <c r="I333" s="5279" t="s">
        <v>997</v>
      </c>
    </row>
    <row customHeight="1" ht="11.25">
      <c r="A334" s="5279" t="s">
        <v>2344</v>
      </c>
      <c r="B334" s="5279" t="s">
        <v>16</v>
      </c>
      <c r="C334" s="5279" t="s">
        <v>2784</v>
      </c>
      <c r="D334" s="5279" t="s">
        <v>47</v>
      </c>
      <c r="E334" s="5279" t="s">
        <v>50</v>
      </c>
      <c r="F334" s="5279" t="s">
        <v>2785</v>
      </c>
      <c r="G334" s="5279" t="s">
        <v>28</v>
      </c>
      <c r="H334" s="5279" t="s">
        <v>28</v>
      </c>
      <c r="I334" s="5279" t="s">
        <v>997</v>
      </c>
    </row>
    <row customHeight="1" ht="11.25">
      <c r="A335" s="5279" t="s">
        <v>2344</v>
      </c>
      <c r="B335" s="5279" t="s">
        <v>16</v>
      </c>
      <c r="C335" s="5279" t="s">
        <v>2786</v>
      </c>
      <c r="D335" s="5279" t="s">
        <v>47</v>
      </c>
      <c r="E335" s="5279" t="s">
        <v>50</v>
      </c>
      <c r="F335" s="5279" t="s">
        <v>2787</v>
      </c>
      <c r="G335" s="5279" t="s">
        <v>28</v>
      </c>
      <c r="H335" s="5279" t="s">
        <v>28</v>
      </c>
      <c r="I335" s="5279" t="s">
        <v>997</v>
      </c>
    </row>
    <row customHeight="1" ht="11.25">
      <c r="A336" s="5279" t="s">
        <v>2344</v>
      </c>
      <c r="B336" s="5279" t="s">
        <v>16</v>
      </c>
      <c r="C336" s="5279" t="s">
        <v>2788</v>
      </c>
      <c r="D336" s="5279" t="s">
        <v>47</v>
      </c>
      <c r="E336" s="5279" t="s">
        <v>50</v>
      </c>
      <c r="F336" s="5279" t="s">
        <v>2789</v>
      </c>
      <c r="G336" s="5279" t="s">
        <v>28</v>
      </c>
      <c r="H336" s="5279" t="s">
        <v>28</v>
      </c>
      <c r="I336" s="5279" t="s">
        <v>997</v>
      </c>
    </row>
    <row customHeight="1" ht="11.25">
      <c r="A337" s="5279" t="s">
        <v>2344</v>
      </c>
      <c r="B337" s="5279" t="s">
        <v>16</v>
      </c>
      <c r="C337" s="5279" t="s">
        <v>2790</v>
      </c>
      <c r="D337" s="5279" t="s">
        <v>47</v>
      </c>
      <c r="E337" s="5279" t="s">
        <v>50</v>
      </c>
      <c r="F337" s="5279" t="s">
        <v>2791</v>
      </c>
      <c r="G337" s="5279" t="s">
        <v>28</v>
      </c>
      <c r="H337" s="5279" t="s">
        <v>28</v>
      </c>
      <c r="I337" s="5279" t="s">
        <v>997</v>
      </c>
    </row>
    <row customHeight="1" ht="11.25">
      <c r="A338" s="5279" t="s">
        <v>2344</v>
      </c>
      <c r="B338" s="5279" t="s">
        <v>16</v>
      </c>
      <c r="C338" s="5279" t="s">
        <v>2490</v>
      </c>
      <c r="D338" s="5279" t="s">
        <v>47</v>
      </c>
      <c r="E338" s="5279" t="s">
        <v>50</v>
      </c>
      <c r="F338" s="5279" t="s">
        <v>2489</v>
      </c>
      <c r="G338" s="5279" t="s">
        <v>28</v>
      </c>
      <c r="H338" s="5279" t="s">
        <v>28</v>
      </c>
      <c r="I338" s="5279" t="s">
        <v>997</v>
      </c>
    </row>
    <row customHeight="1" ht="11.25">
      <c r="A339" s="5279" t="s">
        <v>2344</v>
      </c>
      <c r="B339" s="5279" t="s">
        <v>16</v>
      </c>
      <c r="C339" s="5279" t="s">
        <v>2828</v>
      </c>
      <c r="D339" s="5279" t="s">
        <v>2829</v>
      </c>
      <c r="E339" s="5279" t="s">
        <v>2830</v>
      </c>
      <c r="F339" s="5279" t="s">
        <v>2376</v>
      </c>
      <c r="G339" s="5279" t="s">
        <v>28</v>
      </c>
      <c r="H339" s="5279" t="s">
        <v>28</v>
      </c>
      <c r="I339" s="5279" t="s">
        <v>997</v>
      </c>
    </row>
    <row customHeight="1" ht="11.25">
      <c r="A340" s="5279" t="s">
        <v>2344</v>
      </c>
      <c r="B340" s="5279" t="s">
        <v>16</v>
      </c>
      <c r="C340" s="5279" t="s">
        <v>2831</v>
      </c>
      <c r="D340" s="5279" t="s">
        <v>2829</v>
      </c>
      <c r="E340" s="5279" t="s">
        <v>2830</v>
      </c>
      <c r="F340" s="5279" t="s">
        <v>2832</v>
      </c>
      <c r="G340" s="5279" t="s">
        <v>28</v>
      </c>
      <c r="H340" s="5279" t="s">
        <v>28</v>
      </c>
      <c r="I340" s="5279" t="s">
        <v>997</v>
      </c>
    </row>
    <row customHeight="1" ht="11.25">
      <c r="A341" s="5279" t="s">
        <v>2344</v>
      </c>
      <c r="B341" s="5279" t="s">
        <v>16</v>
      </c>
      <c r="C341" s="5279" t="s">
        <v>2833</v>
      </c>
      <c r="D341" s="5279" t="s">
        <v>2793</v>
      </c>
      <c r="E341" s="5279" t="s">
        <v>50</v>
      </c>
      <c r="F341" s="5279" t="s">
        <v>2834</v>
      </c>
      <c r="G341" s="5279" t="s">
        <v>28</v>
      </c>
      <c r="H341" s="5279" t="s">
        <v>28</v>
      </c>
      <c r="I341" s="5279" t="s">
        <v>997</v>
      </c>
    </row>
    <row customHeight="1" ht="11.25">
      <c r="A342" s="5279" t="s">
        <v>2344</v>
      </c>
      <c r="B342" s="5279" t="s">
        <v>16</v>
      </c>
      <c r="C342" s="5279" t="s">
        <v>2792</v>
      </c>
      <c r="D342" s="5279" t="s">
        <v>2793</v>
      </c>
      <c r="E342" s="5279" t="s">
        <v>50</v>
      </c>
      <c r="F342" s="5279" t="s">
        <v>2794</v>
      </c>
      <c r="G342" s="5279" t="s">
        <v>28</v>
      </c>
      <c r="H342" s="5279" t="s">
        <v>28</v>
      </c>
      <c r="I342" s="5279" t="s">
        <v>997</v>
      </c>
    </row>
    <row customHeight="1" ht="11.25">
      <c r="A343" s="5279" t="s">
        <v>2344</v>
      </c>
      <c r="B343" s="5279" t="s">
        <v>16</v>
      </c>
      <c r="C343" s="5279" t="s">
        <v>3095</v>
      </c>
      <c r="D343" s="5279" t="s">
        <v>3096</v>
      </c>
      <c r="E343" s="5279" t="s">
        <v>3097</v>
      </c>
      <c r="F343" s="5279" t="s">
        <v>2608</v>
      </c>
      <c r="G343" s="5279" t="s">
        <v>3098</v>
      </c>
      <c r="H343" s="5279" t="s">
        <v>28</v>
      </c>
      <c r="I343" s="5279" t="s">
        <v>997</v>
      </c>
    </row>
    <row customHeight="1" ht="11.25">
      <c r="A344" s="5279" t="s">
        <v>2344</v>
      </c>
      <c r="B344" s="5279" t="s">
        <v>16</v>
      </c>
      <c r="C344" s="5279" t="s">
        <v>2838</v>
      </c>
      <c r="D344" s="5279" t="s">
        <v>2839</v>
      </c>
      <c r="E344" s="5279" t="s">
        <v>2840</v>
      </c>
      <c r="F344" s="5279" t="s">
        <v>2578</v>
      </c>
      <c r="G344" s="5279" t="s">
        <v>28</v>
      </c>
      <c r="H344" s="5279" t="s">
        <v>28</v>
      </c>
      <c r="I344" s="5279" t="s">
        <v>997</v>
      </c>
    </row>
    <row customHeight="1" ht="11.25">
      <c r="A345" s="5279" t="s">
        <v>2344</v>
      </c>
      <c r="B345" s="5279" t="s">
        <v>16</v>
      </c>
      <c r="C345" s="5279" t="s">
        <v>2841</v>
      </c>
      <c r="D345" s="5279" t="s">
        <v>2842</v>
      </c>
      <c r="E345" s="5279" t="s">
        <v>2843</v>
      </c>
      <c r="F345" s="5279" t="s">
        <v>2687</v>
      </c>
      <c r="G345" s="5279" t="s">
        <v>28</v>
      </c>
      <c r="H345" s="5279" t="s">
        <v>28</v>
      </c>
      <c r="I345" s="5279" t="s">
        <v>997</v>
      </c>
    </row>
    <row customHeight="1" ht="11.25">
      <c r="A346" s="5279" t="s">
        <v>2344</v>
      </c>
      <c r="B346" s="5279" t="s">
        <v>16</v>
      </c>
      <c r="C346" s="5279" t="s">
        <v>2844</v>
      </c>
      <c r="D346" s="5279" t="s">
        <v>2845</v>
      </c>
      <c r="E346" s="5279" t="s">
        <v>2846</v>
      </c>
      <c r="F346" s="5279" t="s">
        <v>2405</v>
      </c>
      <c r="G346" s="5279" t="s">
        <v>28</v>
      </c>
      <c r="H346" s="5279" t="s">
        <v>28</v>
      </c>
      <c r="I346" s="5279" t="s">
        <v>997</v>
      </c>
    </row>
    <row customHeight="1" ht="11.25">
      <c r="A347" s="5279" t="s">
        <v>2344</v>
      </c>
      <c r="B347" s="5279" t="s">
        <v>16</v>
      </c>
      <c r="C347" s="5279" t="s">
        <v>2847</v>
      </c>
      <c r="D347" s="5279" t="s">
        <v>2848</v>
      </c>
      <c r="E347" s="5279" t="s">
        <v>2849</v>
      </c>
      <c r="F347" s="5279" t="s">
        <v>2498</v>
      </c>
      <c r="G347" s="5279" t="s">
        <v>28</v>
      </c>
      <c r="H347" s="5279" t="s">
        <v>28</v>
      </c>
      <c r="I347" s="5279" t="s">
        <v>997</v>
      </c>
    </row>
    <row customHeight="1" ht="11.25">
      <c r="A348" s="5279" t="s">
        <v>2344</v>
      </c>
      <c r="B348" s="5279" t="s">
        <v>16</v>
      </c>
      <c r="C348" s="5279" t="s">
        <v>2854</v>
      </c>
      <c r="D348" s="5279" t="s">
        <v>2855</v>
      </c>
      <c r="E348" s="5279" t="s">
        <v>2856</v>
      </c>
      <c r="F348" s="5279" t="s">
        <v>2405</v>
      </c>
      <c r="G348" s="5279" t="s">
        <v>28</v>
      </c>
      <c r="H348" s="5279" t="s">
        <v>28</v>
      </c>
      <c r="I348" s="5279" t="s">
        <v>997</v>
      </c>
    </row>
    <row customHeight="1" ht="11.25">
      <c r="A349" s="5279" t="s">
        <v>2344</v>
      </c>
      <c r="B349" s="5279" t="s">
        <v>16</v>
      </c>
      <c r="C349" s="5279" t="s">
        <v>2495</v>
      </c>
      <c r="D349" s="5279" t="s">
        <v>2496</v>
      </c>
      <c r="E349" s="5279" t="s">
        <v>2497</v>
      </c>
      <c r="F349" s="5279" t="s">
        <v>2498</v>
      </c>
      <c r="G349" s="5279" t="s">
        <v>28</v>
      </c>
      <c r="H349" s="5279" t="s">
        <v>28</v>
      </c>
      <c r="I349" s="5279" t="s">
        <v>997</v>
      </c>
    </row>
    <row customHeight="1" ht="11.25">
      <c r="A350" s="5279" t="s">
        <v>2344</v>
      </c>
      <c r="B350" s="5279" t="s">
        <v>16</v>
      </c>
      <c r="C350" s="5279" t="s">
        <v>2857</v>
      </c>
      <c r="D350" s="5279" t="s">
        <v>2858</v>
      </c>
      <c r="E350" s="5279" t="s">
        <v>2859</v>
      </c>
      <c r="F350" s="5279" t="s">
        <v>2516</v>
      </c>
      <c r="G350" s="5279" t="s">
        <v>2860</v>
      </c>
      <c r="H350" s="5279" t="s">
        <v>28</v>
      </c>
      <c r="I350" s="5279" t="s">
        <v>997</v>
      </c>
    </row>
    <row customHeight="1" ht="11.25">
      <c r="A351" s="5279" t="s">
        <v>2344</v>
      </c>
      <c r="B351" s="5279" t="s">
        <v>16</v>
      </c>
      <c r="C351" s="5279" t="s">
        <v>2861</v>
      </c>
      <c r="D351" s="5279" t="s">
        <v>2862</v>
      </c>
      <c r="E351" s="5279" t="s">
        <v>2863</v>
      </c>
      <c r="F351" s="5279" t="s">
        <v>2864</v>
      </c>
      <c r="G351" s="5279" t="s">
        <v>28</v>
      </c>
      <c r="H351" s="5279" t="s">
        <v>28</v>
      </c>
      <c r="I351" s="5279" t="s">
        <v>997</v>
      </c>
    </row>
    <row customHeight="1" ht="11.25">
      <c r="A352" s="5279" t="s">
        <v>2344</v>
      </c>
      <c r="B352" s="5279" t="s">
        <v>16</v>
      </c>
      <c r="C352" s="5279" t="s">
        <v>2865</v>
      </c>
      <c r="D352" s="5279" t="s">
        <v>2866</v>
      </c>
      <c r="E352" s="5279" t="s">
        <v>2867</v>
      </c>
      <c r="F352" s="5279" t="s">
        <v>2516</v>
      </c>
      <c r="G352" s="5279" t="s">
        <v>28</v>
      </c>
      <c r="H352" s="5279" t="s">
        <v>28</v>
      </c>
      <c r="I352" s="5279" t="s">
        <v>997</v>
      </c>
    </row>
    <row customHeight="1" ht="11.25">
      <c r="A353" s="5279" t="s">
        <v>2344</v>
      </c>
      <c r="B353" s="5279" t="s">
        <v>16</v>
      </c>
      <c r="C353" s="5279" t="s">
        <v>2868</v>
      </c>
      <c r="D353" s="5279" t="s">
        <v>2869</v>
      </c>
      <c r="E353" s="5279" t="s">
        <v>2870</v>
      </c>
      <c r="F353" s="5279" t="s">
        <v>2384</v>
      </c>
      <c r="G353" s="5279" t="s">
        <v>2871</v>
      </c>
      <c r="H353" s="5279" t="s">
        <v>28</v>
      </c>
      <c r="I353" s="5279" t="s">
        <v>997</v>
      </c>
    </row>
    <row customHeight="1" ht="11.25">
      <c r="A354" s="5279" t="s">
        <v>2344</v>
      </c>
      <c r="B354" s="5279" t="s">
        <v>16</v>
      </c>
      <c r="C354" s="5279" t="s">
        <v>2872</v>
      </c>
      <c r="D354" s="5279" t="s">
        <v>2873</v>
      </c>
      <c r="E354" s="5279" t="s">
        <v>2874</v>
      </c>
      <c r="F354" s="5279" t="s">
        <v>2384</v>
      </c>
      <c r="G354" s="5279" t="s">
        <v>2875</v>
      </c>
      <c r="H354" s="5279" t="s">
        <v>28</v>
      </c>
      <c r="I354" s="5279" t="s">
        <v>997</v>
      </c>
    </row>
    <row customHeight="1" ht="11.25">
      <c r="A355" s="5279" t="s">
        <v>2344</v>
      </c>
      <c r="B355" s="5279" t="s">
        <v>16</v>
      </c>
      <c r="C355" s="5279" t="s">
        <v>2502</v>
      </c>
      <c r="D355" s="5279" t="s">
        <v>2503</v>
      </c>
      <c r="E355" s="5279" t="s">
        <v>2504</v>
      </c>
      <c r="F355" s="5279" t="s">
        <v>2505</v>
      </c>
      <c r="G355" s="5279" t="s">
        <v>28</v>
      </c>
      <c r="H355" s="5279" t="s">
        <v>28</v>
      </c>
      <c r="I355" s="5279" t="s">
        <v>997</v>
      </c>
    </row>
    <row customHeight="1" ht="11.25">
      <c r="A356" s="5279" t="s">
        <v>2344</v>
      </c>
      <c r="B356" s="5279" t="s">
        <v>16</v>
      </c>
      <c r="C356" s="5279" t="s">
        <v>3099</v>
      </c>
      <c r="D356" s="5279" t="s">
        <v>3100</v>
      </c>
      <c r="E356" s="5279" t="s">
        <v>3101</v>
      </c>
      <c r="F356" s="5279" t="s">
        <v>2516</v>
      </c>
      <c r="G356" s="5279" t="s">
        <v>28</v>
      </c>
      <c r="H356" s="5279" t="s">
        <v>28</v>
      </c>
      <c r="I356" s="5279" t="s">
        <v>997</v>
      </c>
    </row>
    <row customHeight="1" ht="11.25">
      <c r="A357" s="5279" t="s">
        <v>2344</v>
      </c>
      <c r="B357" s="5279" t="s">
        <v>16</v>
      </c>
      <c r="C357" s="5279" t="s">
        <v>2506</v>
      </c>
      <c r="D357" s="5279" t="s">
        <v>2507</v>
      </c>
      <c r="E357" s="5279" t="s">
        <v>2508</v>
      </c>
      <c r="F357" s="5279" t="s">
        <v>2509</v>
      </c>
      <c r="G357" s="5279" t="s">
        <v>28</v>
      </c>
      <c r="H357" s="5279" t="s">
        <v>28</v>
      </c>
      <c r="I357" s="5279" t="s">
        <v>997</v>
      </c>
    </row>
    <row customHeight="1" ht="11.25">
      <c r="A358" s="5279" t="s">
        <v>2344</v>
      </c>
      <c r="B358" s="5279" t="s">
        <v>16</v>
      </c>
      <c r="C358" s="5279" t="s">
        <v>2510</v>
      </c>
      <c r="D358" s="5279" t="s">
        <v>2511</v>
      </c>
      <c r="E358" s="5279" t="s">
        <v>2512</v>
      </c>
      <c r="F358" s="5279" t="s">
        <v>2509</v>
      </c>
      <c r="G358" s="5279" t="s">
        <v>28</v>
      </c>
      <c r="H358" s="5279" t="s">
        <v>28</v>
      </c>
      <c r="I358" s="5279" t="s">
        <v>997</v>
      </c>
    </row>
    <row customHeight="1" ht="11.25">
      <c r="A359" s="5279" t="s">
        <v>2344</v>
      </c>
      <c r="B359" s="5279" t="s">
        <v>16</v>
      </c>
      <c r="C359" s="5279" t="s">
        <v>2513</v>
      </c>
      <c r="D359" s="5279" t="s">
        <v>2514</v>
      </c>
      <c r="E359" s="5279" t="s">
        <v>2515</v>
      </c>
      <c r="F359" s="5279" t="s">
        <v>2516</v>
      </c>
      <c r="G359" s="5279" t="s">
        <v>28</v>
      </c>
      <c r="H359" s="5279" t="s">
        <v>28</v>
      </c>
      <c r="I359" s="5279" t="s">
        <v>997</v>
      </c>
    </row>
    <row customHeight="1" ht="11.25">
      <c r="A360" s="5279" t="s">
        <v>2344</v>
      </c>
      <c r="B360" s="5279" t="s">
        <v>16</v>
      </c>
      <c r="C360" s="5279" t="s">
        <v>2876</v>
      </c>
      <c r="D360" s="5279" t="s">
        <v>2877</v>
      </c>
      <c r="E360" s="5279" t="s">
        <v>2878</v>
      </c>
      <c r="F360" s="5279" t="s">
        <v>2450</v>
      </c>
      <c r="G360" s="5279" t="s">
        <v>28</v>
      </c>
      <c r="H360" s="5279" t="s">
        <v>28</v>
      </c>
      <c r="I360" s="5279" t="s">
        <v>997</v>
      </c>
    </row>
    <row customHeight="1" ht="11.25">
      <c r="A361" s="5279" t="s">
        <v>2344</v>
      </c>
      <c r="B361" s="5279" t="s">
        <v>16</v>
      </c>
      <c r="C361" s="5279" t="s">
        <v>2879</v>
      </c>
      <c r="D361" s="5279" t="s">
        <v>2880</v>
      </c>
      <c r="E361" s="5279" t="s">
        <v>2881</v>
      </c>
      <c r="F361" s="5279" t="s">
        <v>2413</v>
      </c>
      <c r="G361" s="5279" t="s">
        <v>2882</v>
      </c>
      <c r="H361" s="5279" t="s">
        <v>28</v>
      </c>
      <c r="I361" s="5279" t="s">
        <v>997</v>
      </c>
    </row>
    <row customHeight="1" ht="11.25">
      <c r="A362" s="5279" t="s">
        <v>2344</v>
      </c>
      <c r="B362" s="5279" t="s">
        <v>16</v>
      </c>
      <c r="C362" s="5279" t="s">
        <v>2883</v>
      </c>
      <c r="D362" s="5279" t="s">
        <v>2884</v>
      </c>
      <c r="E362" s="5279" t="s">
        <v>2885</v>
      </c>
      <c r="F362" s="5279" t="s">
        <v>2471</v>
      </c>
      <c r="G362" s="5279" t="s">
        <v>2886</v>
      </c>
      <c r="H362" s="5279" t="s">
        <v>28</v>
      </c>
      <c r="I362" s="5279" t="s">
        <v>997</v>
      </c>
    </row>
    <row customHeight="1" ht="11.25">
      <c r="A363" s="5279" t="s">
        <v>2344</v>
      </c>
      <c r="B363" s="5279" t="s">
        <v>16</v>
      </c>
      <c r="C363" s="5279" t="s">
        <v>2517</v>
      </c>
      <c r="D363" s="5279" t="s">
        <v>2518</v>
      </c>
      <c r="E363" s="5279" t="s">
        <v>2519</v>
      </c>
      <c r="F363" s="5279" t="s">
        <v>2384</v>
      </c>
      <c r="G363" s="5279" t="s">
        <v>28</v>
      </c>
      <c r="H363" s="5279" t="s">
        <v>28</v>
      </c>
      <c r="I363" s="5279" t="s">
        <v>997</v>
      </c>
    </row>
    <row customHeight="1" ht="11.25">
      <c r="A364" s="5279" t="s">
        <v>2344</v>
      </c>
      <c r="B364" s="5279" t="s">
        <v>16</v>
      </c>
      <c r="C364" s="5279" t="s">
        <v>2887</v>
      </c>
      <c r="D364" s="5279" t="s">
        <v>2888</v>
      </c>
      <c r="E364" s="5279" t="s">
        <v>2889</v>
      </c>
      <c r="F364" s="5279" t="s">
        <v>2853</v>
      </c>
      <c r="G364" s="5279" t="s">
        <v>28</v>
      </c>
      <c r="H364" s="5279" t="s">
        <v>28</v>
      </c>
      <c r="I364" s="5279" t="s">
        <v>997</v>
      </c>
    </row>
    <row customHeight="1" ht="11.25">
      <c r="A365" s="5279" t="s">
        <v>2344</v>
      </c>
      <c r="B365" s="5279" t="s">
        <v>16</v>
      </c>
      <c r="C365" s="5279" t="s">
        <v>2520</v>
      </c>
      <c r="D365" s="5279" t="s">
        <v>2521</v>
      </c>
      <c r="E365" s="5279" t="s">
        <v>2522</v>
      </c>
      <c r="F365" s="5279" t="s">
        <v>2505</v>
      </c>
      <c r="G365" s="5279" t="s">
        <v>28</v>
      </c>
      <c r="H365" s="5279" t="s">
        <v>28</v>
      </c>
      <c r="I365" s="5279" t="s">
        <v>997</v>
      </c>
    </row>
    <row customHeight="1" ht="11.25">
      <c r="A366" s="5279" t="s">
        <v>2344</v>
      </c>
      <c r="B366" s="5279" t="s">
        <v>16</v>
      </c>
      <c r="C366" s="5279" t="s">
        <v>2890</v>
      </c>
      <c r="D366" s="5279" t="s">
        <v>2891</v>
      </c>
      <c r="E366" s="5279" t="s">
        <v>2892</v>
      </c>
      <c r="F366" s="5279" t="s">
        <v>2413</v>
      </c>
      <c r="G366" s="5279" t="s">
        <v>28</v>
      </c>
      <c r="H366" s="5279" t="s">
        <v>28</v>
      </c>
      <c r="I366" s="5279" t="s">
        <v>997</v>
      </c>
    </row>
    <row customHeight="1" ht="11.25">
      <c r="A367" s="5279" t="s">
        <v>2344</v>
      </c>
      <c r="B367" s="5279" t="s">
        <v>16</v>
      </c>
      <c r="C367" s="5279" t="s">
        <v>2893</v>
      </c>
      <c r="D367" s="5279" t="s">
        <v>2894</v>
      </c>
      <c r="E367" s="5279" t="s">
        <v>2895</v>
      </c>
      <c r="F367" s="5279" t="s">
        <v>2769</v>
      </c>
      <c r="G367" s="5279" t="s">
        <v>28</v>
      </c>
      <c r="H367" s="5279" t="s">
        <v>28</v>
      </c>
      <c r="I367" s="5279" t="s">
        <v>997</v>
      </c>
    </row>
    <row customHeight="1" ht="11.25">
      <c r="A368" s="5279" t="s">
        <v>2344</v>
      </c>
      <c r="B368" s="5279" t="s">
        <v>16</v>
      </c>
      <c r="C368" s="5279" t="s">
        <v>2896</v>
      </c>
      <c r="D368" s="5279" t="s">
        <v>2897</v>
      </c>
      <c r="E368" s="5279" t="s">
        <v>2898</v>
      </c>
      <c r="F368" s="5279" t="s">
        <v>2351</v>
      </c>
      <c r="G368" s="5279" t="s">
        <v>28</v>
      </c>
      <c r="H368" s="5279" t="s">
        <v>28</v>
      </c>
      <c r="I368" s="5279" t="s">
        <v>997</v>
      </c>
    </row>
    <row customHeight="1" ht="11.25">
      <c r="A369" s="5279" t="s">
        <v>2344</v>
      </c>
      <c r="B369" s="5279" t="s">
        <v>16</v>
      </c>
      <c r="C369" s="5279" t="s">
        <v>2523</v>
      </c>
      <c r="D369" s="5279" t="s">
        <v>2524</v>
      </c>
      <c r="E369" s="5279" t="s">
        <v>2525</v>
      </c>
      <c r="F369" s="5279" t="s">
        <v>2526</v>
      </c>
      <c r="G369" s="5279" t="s">
        <v>28</v>
      </c>
      <c r="H369" s="5279" t="s">
        <v>28</v>
      </c>
      <c r="I369" s="5279" t="s">
        <v>997</v>
      </c>
    </row>
    <row customHeight="1" ht="11.25">
      <c r="A370" s="5279" t="s">
        <v>2344</v>
      </c>
      <c r="B370" s="5279" t="s">
        <v>16</v>
      </c>
      <c r="C370" s="5279" t="s">
        <v>2899</v>
      </c>
      <c r="D370" s="5279" t="s">
        <v>2900</v>
      </c>
      <c r="E370" s="5279" t="s">
        <v>2901</v>
      </c>
      <c r="F370" s="5279" t="s">
        <v>2769</v>
      </c>
      <c r="G370" s="5279" t="s">
        <v>28</v>
      </c>
      <c r="H370" s="5279" t="s">
        <v>28</v>
      </c>
      <c r="I370" s="5279" t="s">
        <v>997</v>
      </c>
    </row>
    <row customHeight="1" ht="11.25">
      <c r="A371" s="5279" t="s">
        <v>2344</v>
      </c>
      <c r="B371" s="5279" t="s">
        <v>16</v>
      </c>
      <c r="C371" s="5279" t="s">
        <v>2527</v>
      </c>
      <c r="D371" s="5279" t="s">
        <v>2528</v>
      </c>
      <c r="E371" s="5279" t="s">
        <v>2529</v>
      </c>
      <c r="F371" s="5279" t="s">
        <v>2489</v>
      </c>
      <c r="G371" s="5279" t="s">
        <v>28</v>
      </c>
      <c r="H371" s="5279" t="s">
        <v>28</v>
      </c>
      <c r="I371" s="5279" t="s">
        <v>997</v>
      </c>
    </row>
    <row customHeight="1" ht="11.25">
      <c r="A372" s="5279" t="s">
        <v>2344</v>
      </c>
      <c r="B372" s="5279" t="s">
        <v>16</v>
      </c>
      <c r="C372" s="5279" t="s">
        <v>2537</v>
      </c>
      <c r="D372" s="5279" t="s">
        <v>2538</v>
      </c>
      <c r="E372" s="5279" t="s">
        <v>2539</v>
      </c>
      <c r="F372" s="5279" t="s">
        <v>2540</v>
      </c>
      <c r="G372" s="5279" t="s">
        <v>28</v>
      </c>
      <c r="H372" s="5279" t="s">
        <v>28</v>
      </c>
      <c r="I372" s="5279" t="s">
        <v>997</v>
      </c>
    </row>
    <row customHeight="1" ht="11.25">
      <c r="A373" s="5279" t="s">
        <v>2344</v>
      </c>
      <c r="B373" s="5279" t="s">
        <v>16</v>
      </c>
      <c r="C373" s="5279" t="s">
        <v>3102</v>
      </c>
      <c r="D373" s="5279" t="s">
        <v>3103</v>
      </c>
      <c r="E373" s="5279" t="s">
        <v>3104</v>
      </c>
      <c r="F373" s="5279" t="s">
        <v>2405</v>
      </c>
      <c r="G373" s="5279" t="s">
        <v>28</v>
      </c>
      <c r="H373" s="5279" t="s">
        <v>28</v>
      </c>
      <c r="I373" s="5279" t="s">
        <v>997</v>
      </c>
    </row>
    <row customHeight="1" ht="11.25">
      <c r="A374" s="5279" t="s">
        <v>2344</v>
      </c>
      <c r="B374" s="5279" t="s">
        <v>16</v>
      </c>
      <c r="C374" s="5279" t="s">
        <v>2560</v>
      </c>
      <c r="D374" s="5279" t="s">
        <v>2561</v>
      </c>
      <c r="E374" s="5279" t="s">
        <v>2562</v>
      </c>
      <c r="F374" s="5279" t="s">
        <v>2509</v>
      </c>
      <c r="G374" s="5279" t="s">
        <v>28</v>
      </c>
      <c r="H374" s="5279" t="s">
        <v>28</v>
      </c>
      <c r="I374" s="5279" t="s">
        <v>997</v>
      </c>
    </row>
    <row customHeight="1" ht="11.25">
      <c r="A375" s="5279" t="s">
        <v>2344</v>
      </c>
      <c r="B375" s="5279" t="s">
        <v>16</v>
      </c>
      <c r="C375" s="5279" t="s">
        <v>2908</v>
      </c>
      <c r="D375" s="5279" t="s">
        <v>2909</v>
      </c>
      <c r="E375" s="5279" t="s">
        <v>2910</v>
      </c>
      <c r="F375" s="5279" t="s">
        <v>2384</v>
      </c>
      <c r="G375" s="5279" t="s">
        <v>2911</v>
      </c>
      <c r="H375" s="5279" t="s">
        <v>28</v>
      </c>
      <c r="I375" s="5279" t="s">
        <v>997</v>
      </c>
    </row>
    <row customHeight="1" ht="11.25">
      <c r="A376" s="5279" t="s">
        <v>2344</v>
      </c>
      <c r="B376" s="5279" t="s">
        <v>16</v>
      </c>
      <c r="C376" s="5279" t="s">
        <v>2912</v>
      </c>
      <c r="D376" s="5279" t="s">
        <v>2913</v>
      </c>
      <c r="E376" s="5279" t="s">
        <v>2914</v>
      </c>
      <c r="F376" s="5279" t="s">
        <v>2396</v>
      </c>
      <c r="G376" s="5279" t="s">
        <v>2915</v>
      </c>
      <c r="H376" s="5279" t="s">
        <v>28</v>
      </c>
      <c r="I376" s="5279" t="s">
        <v>997</v>
      </c>
    </row>
    <row customHeight="1" ht="11.25">
      <c r="A377" s="5279" t="s">
        <v>2344</v>
      </c>
      <c r="B377" s="5279" t="s">
        <v>16</v>
      </c>
      <c r="C377" s="5279" t="s">
        <v>2916</v>
      </c>
      <c r="D377" s="5279" t="s">
        <v>2917</v>
      </c>
      <c r="E377" s="5279" t="s">
        <v>2918</v>
      </c>
      <c r="F377" s="5279" t="s">
        <v>2666</v>
      </c>
      <c r="G377" s="5279" t="s">
        <v>2919</v>
      </c>
      <c r="H377" s="5279" t="s">
        <v>28</v>
      </c>
      <c r="I377" s="5279" t="s">
        <v>997</v>
      </c>
    </row>
    <row customHeight="1" ht="11.25">
      <c r="A378" s="5279" t="s">
        <v>2344</v>
      </c>
      <c r="B378" s="5279" t="s">
        <v>16</v>
      </c>
      <c r="C378" s="5279" t="s">
        <v>2920</v>
      </c>
      <c r="D378" s="5279" t="s">
        <v>2921</v>
      </c>
      <c r="E378" s="5279" t="s">
        <v>2922</v>
      </c>
      <c r="F378" s="5279" t="s">
        <v>2923</v>
      </c>
      <c r="G378" s="5279" t="s">
        <v>28</v>
      </c>
      <c r="H378" s="5279" t="s">
        <v>28</v>
      </c>
      <c r="I378" s="5279" t="s">
        <v>997</v>
      </c>
    </row>
    <row customHeight="1" ht="11.25">
      <c r="A379" s="5279" t="s">
        <v>2344</v>
      </c>
      <c r="B379" s="5279" t="s">
        <v>16</v>
      </c>
      <c r="C379" s="5279" t="s">
        <v>2928</v>
      </c>
      <c r="D379" s="5279" t="s">
        <v>2929</v>
      </c>
      <c r="E379" s="5279" t="s">
        <v>2930</v>
      </c>
      <c r="F379" s="5279" t="s">
        <v>2376</v>
      </c>
      <c r="G379" s="5279" t="s">
        <v>28</v>
      </c>
      <c r="H379" s="5279" t="s">
        <v>28</v>
      </c>
      <c r="I379" s="5279" t="s">
        <v>997</v>
      </c>
    </row>
    <row customHeight="1" ht="11.25">
      <c r="A380" s="5279" t="s">
        <v>2344</v>
      </c>
      <c r="B380" s="5279" t="s">
        <v>16</v>
      </c>
      <c r="C380" s="5279" t="s">
        <v>2931</v>
      </c>
      <c r="D380" s="5279" t="s">
        <v>2932</v>
      </c>
      <c r="E380" s="5279" t="s">
        <v>2933</v>
      </c>
      <c r="F380" s="5279" t="s">
        <v>2934</v>
      </c>
      <c r="G380" s="5279" t="s">
        <v>28</v>
      </c>
      <c r="H380" s="5279" t="s">
        <v>28</v>
      </c>
      <c r="I380" s="5279" t="s">
        <v>997</v>
      </c>
    </row>
    <row customHeight="1" ht="11.25">
      <c r="A381" s="5279" t="s">
        <v>2344</v>
      </c>
      <c r="B381" s="5279" t="s">
        <v>16</v>
      </c>
      <c r="C381" s="5279" t="s">
        <v>2935</v>
      </c>
      <c r="D381" s="5279" t="s">
        <v>2936</v>
      </c>
      <c r="E381" s="5279" t="s">
        <v>2937</v>
      </c>
      <c r="F381" s="5279" t="s">
        <v>2743</v>
      </c>
      <c r="G381" s="5279" t="s">
        <v>28</v>
      </c>
      <c r="H381" s="5279" t="s">
        <v>28</v>
      </c>
      <c r="I381" s="5279" t="s">
        <v>997</v>
      </c>
    </row>
    <row customHeight="1" ht="11.25">
      <c r="A382" s="5279" t="s">
        <v>2344</v>
      </c>
      <c r="B382" s="5279" t="s">
        <v>16</v>
      </c>
      <c r="C382" s="5279" t="s">
        <v>3105</v>
      </c>
      <c r="D382" s="5279" t="s">
        <v>3106</v>
      </c>
      <c r="E382" s="5279" t="s">
        <v>3107</v>
      </c>
      <c r="F382" s="5279" t="s">
        <v>2355</v>
      </c>
      <c r="G382" s="5279" t="s">
        <v>2927</v>
      </c>
      <c r="H382" s="5279" t="s">
        <v>28</v>
      </c>
      <c r="I382" s="5279" t="s">
        <v>997</v>
      </c>
    </row>
    <row customHeight="1" ht="11.25">
      <c r="A383" s="5279" t="s">
        <v>2344</v>
      </c>
      <c r="B383" s="5279" t="s">
        <v>16</v>
      </c>
      <c r="C383" s="5279" t="s">
        <v>3108</v>
      </c>
      <c r="D383" s="5279" t="s">
        <v>3106</v>
      </c>
      <c r="E383" s="5279" t="s">
        <v>3109</v>
      </c>
      <c r="F383" s="5279" t="s">
        <v>2769</v>
      </c>
      <c r="G383" s="5279" t="s">
        <v>2941</v>
      </c>
      <c r="H383" s="5279" t="s">
        <v>28</v>
      </c>
      <c r="I383" s="5279" t="s">
        <v>997</v>
      </c>
    </row>
    <row customHeight="1" ht="11.25">
      <c r="A384" s="5279" t="s">
        <v>2344</v>
      </c>
      <c r="B384" s="5279" t="s">
        <v>16</v>
      </c>
      <c r="C384" s="5279" t="s">
        <v>2575</v>
      </c>
      <c r="D384" s="5279" t="s">
        <v>2576</v>
      </c>
      <c r="E384" s="5279" t="s">
        <v>2577</v>
      </c>
      <c r="F384" s="5279" t="s">
        <v>2578</v>
      </c>
      <c r="G384" s="5279" t="s">
        <v>2579</v>
      </c>
      <c r="H384" s="5279" t="s">
        <v>28</v>
      </c>
      <c r="I384" s="5279" t="s">
        <v>997</v>
      </c>
    </row>
    <row customHeight="1" ht="11.25">
      <c r="A385" s="5279" t="s">
        <v>2344</v>
      </c>
      <c r="B385" s="5279" t="s">
        <v>16</v>
      </c>
      <c r="C385" s="5279" t="s">
        <v>2942</v>
      </c>
      <c r="D385" s="5279" t="s">
        <v>2943</v>
      </c>
      <c r="E385" s="5279" t="s">
        <v>2944</v>
      </c>
      <c r="F385" s="5279" t="s">
        <v>2384</v>
      </c>
      <c r="G385" s="5279" t="s">
        <v>28</v>
      </c>
      <c r="H385" s="5279" t="s">
        <v>28</v>
      </c>
      <c r="I385" s="5279" t="s">
        <v>997</v>
      </c>
    </row>
    <row customHeight="1" ht="11.25">
      <c r="A386" s="5279" t="s">
        <v>2344</v>
      </c>
      <c r="B386" s="5279" t="s">
        <v>16</v>
      </c>
      <c r="C386" s="5279" t="s">
        <v>3110</v>
      </c>
      <c r="D386" s="5279" t="s">
        <v>3111</v>
      </c>
      <c r="E386" s="5279" t="s">
        <v>3112</v>
      </c>
      <c r="F386" s="5279" t="s">
        <v>2351</v>
      </c>
      <c r="G386" s="5279" t="s">
        <v>28</v>
      </c>
      <c r="H386" s="5279" t="s">
        <v>28</v>
      </c>
      <c r="I386" s="5279" t="s">
        <v>997</v>
      </c>
    </row>
    <row customHeight="1" ht="11.25">
      <c r="A387" s="5279" t="s">
        <v>2344</v>
      </c>
      <c r="B387" s="5279" t="s">
        <v>16</v>
      </c>
      <c r="C387" s="5279" t="s">
        <v>2948</v>
      </c>
      <c r="D387" s="5279" t="s">
        <v>2949</v>
      </c>
      <c r="E387" s="5279" t="s">
        <v>2950</v>
      </c>
      <c r="F387" s="5279" t="s">
        <v>2347</v>
      </c>
      <c r="G387" s="5279" t="s">
        <v>28</v>
      </c>
      <c r="H387" s="5279" t="s">
        <v>28</v>
      </c>
      <c r="I387" s="5279" t="s">
        <v>997</v>
      </c>
    </row>
    <row customHeight="1" ht="11.25">
      <c r="A388" s="5279" t="s">
        <v>2344</v>
      </c>
      <c r="B388" s="5279" t="s">
        <v>16</v>
      </c>
      <c r="C388" s="5279" t="s">
        <v>2951</v>
      </c>
      <c r="D388" s="5279" t="s">
        <v>2952</v>
      </c>
      <c r="E388" s="5279" t="s">
        <v>2953</v>
      </c>
      <c r="F388" s="5279" t="s">
        <v>2351</v>
      </c>
      <c r="G388" s="5279" t="s">
        <v>28</v>
      </c>
      <c r="H388" s="5279" t="s">
        <v>28</v>
      </c>
      <c r="I388" s="5279" t="s">
        <v>997</v>
      </c>
    </row>
    <row customHeight="1" ht="11.25">
      <c r="A389" s="5279" t="s">
        <v>2344</v>
      </c>
      <c r="B389" s="5279" t="s">
        <v>16</v>
      </c>
      <c r="C389" s="5279" t="s">
        <v>2592</v>
      </c>
      <c r="D389" s="5279" t="s">
        <v>2593</v>
      </c>
      <c r="E389" s="5279" t="s">
        <v>2594</v>
      </c>
      <c r="F389" s="5279" t="s">
        <v>2578</v>
      </c>
      <c r="G389" s="5279" t="s">
        <v>28</v>
      </c>
      <c r="H389" s="5279" t="s">
        <v>28</v>
      </c>
      <c r="I389" s="5279" t="s">
        <v>997</v>
      </c>
    </row>
    <row customHeight="1" ht="11.25">
      <c r="A390" s="5279" t="s">
        <v>2344</v>
      </c>
      <c r="B390" s="5279" t="s">
        <v>16</v>
      </c>
      <c r="C390" s="5279" t="s">
        <v>2598</v>
      </c>
      <c r="D390" s="5279" t="s">
        <v>2599</v>
      </c>
      <c r="E390" s="5279" t="s">
        <v>2600</v>
      </c>
      <c r="F390" s="5279" t="s">
        <v>2578</v>
      </c>
      <c r="G390" s="5279" t="s">
        <v>28</v>
      </c>
      <c r="H390" s="5279" t="s">
        <v>28</v>
      </c>
      <c r="I390" s="5279" t="s">
        <v>997</v>
      </c>
    </row>
    <row customHeight="1" ht="11.25">
      <c r="A391" s="5279" t="s">
        <v>2344</v>
      </c>
      <c r="B391" s="5279" t="s">
        <v>16</v>
      </c>
      <c r="C391" s="5279" t="s">
        <v>2954</v>
      </c>
      <c r="D391" s="5279" t="s">
        <v>2955</v>
      </c>
      <c r="E391" s="5279" t="s">
        <v>2956</v>
      </c>
      <c r="F391" s="5279" t="s">
        <v>2578</v>
      </c>
      <c r="G391" s="5279" t="s">
        <v>28</v>
      </c>
      <c r="H391" s="5279" t="s">
        <v>28</v>
      </c>
      <c r="I391" s="5279" t="s">
        <v>997</v>
      </c>
    </row>
    <row customHeight="1" ht="11.25">
      <c r="A392" s="5279" t="s">
        <v>2344</v>
      </c>
      <c r="B392" s="5279" t="s">
        <v>16</v>
      </c>
      <c r="C392" s="5279" t="s">
        <v>2957</v>
      </c>
      <c r="D392" s="5279" t="s">
        <v>2958</v>
      </c>
      <c r="E392" s="5279" t="s">
        <v>2959</v>
      </c>
      <c r="F392" s="5279" t="s">
        <v>2526</v>
      </c>
      <c r="G392" s="5279" t="s">
        <v>2960</v>
      </c>
      <c r="H392" s="5279" t="s">
        <v>28</v>
      </c>
      <c r="I392" s="5279" t="s">
        <v>997</v>
      </c>
    </row>
    <row customHeight="1" ht="11.25">
      <c r="A393" s="5279" t="s">
        <v>2344</v>
      </c>
      <c r="B393" s="5279" t="s">
        <v>16</v>
      </c>
      <c r="C393" s="5279" t="s">
        <v>2961</v>
      </c>
      <c r="D393" s="5279" t="s">
        <v>2962</v>
      </c>
      <c r="E393" s="5279" t="s">
        <v>2963</v>
      </c>
      <c r="F393" s="5279" t="s">
        <v>2351</v>
      </c>
      <c r="G393" s="5279" t="s">
        <v>2964</v>
      </c>
      <c r="H393" s="5279" t="s">
        <v>28</v>
      </c>
      <c r="I393" s="5279" t="s">
        <v>997</v>
      </c>
    </row>
    <row customHeight="1" ht="11.25">
      <c r="A394" s="5279" t="s">
        <v>2344</v>
      </c>
      <c r="B394" s="5279" t="s">
        <v>16</v>
      </c>
      <c r="C394" s="5279" t="s">
        <v>2965</v>
      </c>
      <c r="D394" s="5279" t="s">
        <v>2966</v>
      </c>
      <c r="E394" s="5279" t="s">
        <v>2967</v>
      </c>
      <c r="F394" s="5279" t="s">
        <v>2479</v>
      </c>
      <c r="G394" s="5279" t="s">
        <v>28</v>
      </c>
      <c r="H394" s="5279" t="s">
        <v>28</v>
      </c>
      <c r="I394" s="5279" t="s">
        <v>997</v>
      </c>
    </row>
    <row customHeight="1" ht="11.25">
      <c r="A395" s="5279" t="s">
        <v>2344</v>
      </c>
      <c r="B395" s="5279" t="s">
        <v>16</v>
      </c>
      <c r="C395" s="5279" t="s">
        <v>2968</v>
      </c>
      <c r="D395" s="5279" t="s">
        <v>2969</v>
      </c>
      <c r="E395" s="5279" t="s">
        <v>2970</v>
      </c>
      <c r="F395" s="5279" t="s">
        <v>2769</v>
      </c>
      <c r="G395" s="5279" t="s">
        <v>2971</v>
      </c>
      <c r="H395" s="5279" t="s">
        <v>28</v>
      </c>
      <c r="I395" s="5279" t="s">
        <v>997</v>
      </c>
    </row>
    <row customHeight="1" ht="11.25">
      <c r="A396" s="5279" t="s">
        <v>2344</v>
      </c>
      <c r="B396" s="5279" t="s">
        <v>16</v>
      </c>
      <c r="C396" s="5279" t="s">
        <v>2972</v>
      </c>
      <c r="D396" s="5279" t="s">
        <v>2973</v>
      </c>
      <c r="E396" s="5279" t="s">
        <v>2974</v>
      </c>
      <c r="F396" s="5279" t="s">
        <v>2405</v>
      </c>
      <c r="G396" s="5279" t="s">
        <v>2975</v>
      </c>
      <c r="H396" s="5279" t="s">
        <v>28</v>
      </c>
      <c r="I396" s="5279" t="s">
        <v>997</v>
      </c>
    </row>
    <row customHeight="1" ht="11.25">
      <c r="A397" s="5279" t="s">
        <v>2344</v>
      </c>
      <c r="B397" s="5279" t="s">
        <v>16</v>
      </c>
      <c r="C397" s="5279" t="s">
        <v>3113</v>
      </c>
      <c r="D397" s="5279" t="s">
        <v>3114</v>
      </c>
      <c r="E397" s="5279" t="s">
        <v>3115</v>
      </c>
      <c r="F397" s="5279" t="s">
        <v>2347</v>
      </c>
      <c r="G397" s="5279" t="s">
        <v>28</v>
      </c>
      <c r="H397" s="5279" t="s">
        <v>28</v>
      </c>
      <c r="I397" s="5279" t="s">
        <v>997</v>
      </c>
    </row>
    <row customHeight="1" ht="11.25">
      <c r="A398" s="5279" t="s">
        <v>2344</v>
      </c>
      <c r="B398" s="5279" t="s">
        <v>16</v>
      </c>
      <c r="C398" s="5279" t="s">
        <v>2610</v>
      </c>
      <c r="D398" s="5279" t="s">
        <v>2611</v>
      </c>
      <c r="E398" s="5279" t="s">
        <v>2612</v>
      </c>
      <c r="F398" s="5279" t="s">
        <v>2578</v>
      </c>
      <c r="G398" s="5279" t="s">
        <v>28</v>
      </c>
      <c r="H398" s="5279" t="s">
        <v>28</v>
      </c>
      <c r="I398" s="5279" t="s">
        <v>997</v>
      </c>
    </row>
    <row customHeight="1" ht="11.25">
      <c r="A399" s="5279" t="s">
        <v>2344</v>
      </c>
      <c r="B399" s="5279" t="s">
        <v>16</v>
      </c>
      <c r="C399" s="5279" t="s">
        <v>2980</v>
      </c>
      <c r="D399" s="5279" t="s">
        <v>2981</v>
      </c>
      <c r="E399" s="5279" t="s">
        <v>2982</v>
      </c>
      <c r="F399" s="5279" t="s">
        <v>2526</v>
      </c>
      <c r="G399" s="5279" t="s">
        <v>28</v>
      </c>
      <c r="H399" s="5279" t="s">
        <v>28</v>
      </c>
      <c r="I399" s="5279" t="s">
        <v>997</v>
      </c>
    </row>
    <row customHeight="1" ht="11.25">
      <c r="A400" s="5279" t="s">
        <v>2344</v>
      </c>
      <c r="B400" s="5279" t="s">
        <v>16</v>
      </c>
      <c r="C400" s="5279" t="s">
        <v>2623</v>
      </c>
      <c r="D400" s="5279" t="s">
        <v>2624</v>
      </c>
      <c r="E400" s="5279" t="s">
        <v>2625</v>
      </c>
      <c r="F400" s="5279" t="s">
        <v>2384</v>
      </c>
      <c r="G400" s="5279" t="s">
        <v>28</v>
      </c>
      <c r="H400" s="5279" t="s">
        <v>28</v>
      </c>
      <c r="I400" s="5279" t="s">
        <v>997</v>
      </c>
    </row>
    <row customHeight="1" ht="11.25">
      <c r="A401" s="5279" t="s">
        <v>2344</v>
      </c>
      <c r="B401" s="5279" t="s">
        <v>16</v>
      </c>
      <c r="C401" s="5279" t="s">
        <v>2641</v>
      </c>
      <c r="D401" s="5279" t="s">
        <v>2642</v>
      </c>
      <c r="E401" s="5279" t="s">
        <v>2643</v>
      </c>
      <c r="F401" s="5279" t="s">
        <v>2547</v>
      </c>
      <c r="G401" s="5279" t="s">
        <v>2644</v>
      </c>
      <c r="H401" s="5279" t="s">
        <v>28</v>
      </c>
      <c r="I401" s="5279" t="s">
        <v>997</v>
      </c>
    </row>
    <row customHeight="1" ht="11.25">
      <c r="A402" s="5279" t="s">
        <v>2344</v>
      </c>
      <c r="B402" s="5279" t="s">
        <v>16</v>
      </c>
      <c r="C402" s="5279" t="s">
        <v>2983</v>
      </c>
      <c r="D402" s="5279" t="s">
        <v>2984</v>
      </c>
      <c r="E402" s="5279" t="s">
        <v>2985</v>
      </c>
      <c r="F402" s="5279" t="s">
        <v>2533</v>
      </c>
      <c r="G402" s="5279" t="s">
        <v>28</v>
      </c>
      <c r="H402" s="5279" t="s">
        <v>28</v>
      </c>
      <c r="I402" s="5279" t="s">
        <v>997</v>
      </c>
    </row>
    <row customHeight="1" ht="11.25">
      <c r="A403" s="5279" t="s">
        <v>2344</v>
      </c>
      <c r="B403" s="5279" t="s">
        <v>16</v>
      </c>
      <c r="C403" s="5279" t="s">
        <v>2986</v>
      </c>
      <c r="D403" s="5279" t="s">
        <v>2987</v>
      </c>
      <c r="E403" s="5279" t="s">
        <v>2988</v>
      </c>
      <c r="F403" s="5279" t="s">
        <v>2479</v>
      </c>
      <c r="G403" s="5279" t="s">
        <v>28</v>
      </c>
      <c r="H403" s="5279" t="s">
        <v>28</v>
      </c>
      <c r="I403" s="5279" t="s">
        <v>997</v>
      </c>
    </row>
    <row customHeight="1" ht="11.25">
      <c r="A404" s="5279" t="s">
        <v>2344</v>
      </c>
      <c r="B404" s="5279" t="s">
        <v>16</v>
      </c>
      <c r="C404" s="5279" t="s">
        <v>2989</v>
      </c>
      <c r="D404" s="5279" t="s">
        <v>2990</v>
      </c>
      <c r="E404" s="5279" t="s">
        <v>2991</v>
      </c>
      <c r="F404" s="5279" t="s">
        <v>2992</v>
      </c>
      <c r="G404" s="5279" t="s">
        <v>28</v>
      </c>
      <c r="H404" s="5279" t="s">
        <v>28</v>
      </c>
      <c r="I404" s="5279" t="s">
        <v>997</v>
      </c>
    </row>
    <row customHeight="1" ht="11.25">
      <c r="A405" s="5279" t="s">
        <v>2344</v>
      </c>
      <c r="B405" s="5279" t="s">
        <v>16</v>
      </c>
      <c r="C405" s="5279" t="s">
        <v>2993</v>
      </c>
      <c r="D405" s="5279" t="s">
        <v>2994</v>
      </c>
      <c r="E405" s="5279" t="s">
        <v>2995</v>
      </c>
      <c r="F405" s="5279" t="s">
        <v>2547</v>
      </c>
      <c r="G405" s="5279" t="s">
        <v>28</v>
      </c>
      <c r="H405" s="5279" t="s">
        <v>28</v>
      </c>
      <c r="I405" s="5279" t="s">
        <v>997</v>
      </c>
    </row>
    <row customHeight="1" ht="11.25">
      <c r="A406" s="5279" t="s">
        <v>2344</v>
      </c>
      <c r="B406" s="5279" t="s">
        <v>16</v>
      </c>
      <c r="C406" s="5279" t="s">
        <v>2996</v>
      </c>
      <c r="D406" s="5279" t="s">
        <v>2997</v>
      </c>
      <c r="E406" s="5279" t="s">
        <v>2998</v>
      </c>
      <c r="F406" s="5279" t="s">
        <v>2376</v>
      </c>
      <c r="G406" s="5279" t="s">
        <v>28</v>
      </c>
      <c r="H406" s="5279" t="s">
        <v>28</v>
      </c>
      <c r="I406" s="5279" t="s">
        <v>997</v>
      </c>
    </row>
    <row customHeight="1" ht="11.25">
      <c r="A407" s="5279" t="s">
        <v>2344</v>
      </c>
      <c r="B407" s="5279" t="s">
        <v>16</v>
      </c>
      <c r="C407" s="5279" t="s">
        <v>2660</v>
      </c>
      <c r="D407" s="5279" t="s">
        <v>2661</v>
      </c>
      <c r="E407" s="5279" t="s">
        <v>2662</v>
      </c>
      <c r="F407" s="5279" t="s">
        <v>2526</v>
      </c>
      <c r="G407" s="5279" t="s">
        <v>2406</v>
      </c>
      <c r="H407" s="5279" t="s">
        <v>28</v>
      </c>
      <c r="I407" s="5279" t="s">
        <v>997</v>
      </c>
    </row>
    <row customHeight="1" ht="11.25">
      <c r="A408" s="5279" t="s">
        <v>2344</v>
      </c>
      <c r="B408" s="5279" t="s">
        <v>16</v>
      </c>
      <c r="C408" s="5279" t="s">
        <v>3116</v>
      </c>
      <c r="D408" s="5279" t="s">
        <v>3117</v>
      </c>
      <c r="E408" s="5279" t="s">
        <v>3118</v>
      </c>
      <c r="F408" s="5279" t="s">
        <v>2666</v>
      </c>
      <c r="G408" s="5279" t="s">
        <v>3119</v>
      </c>
      <c r="H408" s="5279" t="s">
        <v>28</v>
      </c>
      <c r="I408" s="5279" t="s">
        <v>997</v>
      </c>
    </row>
    <row customHeight="1" ht="11.25">
      <c r="A409" s="5279" t="s">
        <v>2344</v>
      </c>
      <c r="B409" s="5279" t="s">
        <v>16</v>
      </c>
      <c r="C409" s="5279" t="s">
        <v>2999</v>
      </c>
      <c r="D409" s="5279" t="s">
        <v>3000</v>
      </c>
      <c r="E409" s="5279" t="s">
        <v>3001</v>
      </c>
      <c r="F409" s="5279" t="s">
        <v>2526</v>
      </c>
      <c r="G409" s="5279" t="s">
        <v>28</v>
      </c>
      <c r="H409" s="5279" t="s">
        <v>28</v>
      </c>
      <c r="I409" s="5279" t="s">
        <v>997</v>
      </c>
    </row>
    <row customHeight="1" ht="11.25">
      <c r="A410" s="5279" t="s">
        <v>2344</v>
      </c>
      <c r="B410" s="5279" t="s">
        <v>16</v>
      </c>
      <c r="C410" s="5279" t="s">
        <v>2684</v>
      </c>
      <c r="D410" s="5279" t="s">
        <v>2685</v>
      </c>
      <c r="E410" s="5279" t="s">
        <v>2686</v>
      </c>
      <c r="F410" s="5279" t="s">
        <v>2687</v>
      </c>
      <c r="G410" s="5279" t="s">
        <v>28</v>
      </c>
      <c r="H410" s="5279" t="s">
        <v>28</v>
      </c>
      <c r="I410" s="5279" t="s">
        <v>997</v>
      </c>
    </row>
    <row customHeight="1" ht="11.25">
      <c r="A411" s="5279" t="s">
        <v>2344</v>
      </c>
      <c r="B411" s="5279" t="s">
        <v>16</v>
      </c>
      <c r="C411" s="5279" t="s">
        <v>3005</v>
      </c>
      <c r="D411" s="5279" t="s">
        <v>3006</v>
      </c>
      <c r="E411" s="5279" t="s">
        <v>3007</v>
      </c>
      <c r="F411" s="5279" t="s">
        <v>2376</v>
      </c>
      <c r="G411" s="5279" t="s">
        <v>28</v>
      </c>
      <c r="H411" s="5279" t="s">
        <v>28</v>
      </c>
      <c r="I411" s="5279" t="s">
        <v>997</v>
      </c>
    </row>
    <row customHeight="1" ht="11.25">
      <c r="A412" s="5279" t="s">
        <v>2344</v>
      </c>
      <c r="B412" s="5279" t="s">
        <v>16</v>
      </c>
      <c r="C412" s="5279" t="s">
        <v>3008</v>
      </c>
      <c r="D412" s="5279" t="s">
        <v>3009</v>
      </c>
      <c r="E412" s="5279" t="s">
        <v>3010</v>
      </c>
      <c r="F412" s="5279" t="s">
        <v>2578</v>
      </c>
      <c r="G412" s="5279" t="s">
        <v>28</v>
      </c>
      <c r="H412" s="5279" t="s">
        <v>28</v>
      </c>
      <c r="I412" s="5279" t="s">
        <v>997</v>
      </c>
    </row>
    <row customHeight="1" ht="11.25">
      <c r="A413" s="5279" t="s">
        <v>2344</v>
      </c>
      <c r="B413" s="5279" t="s">
        <v>16</v>
      </c>
      <c r="C413" s="5279" t="s">
        <v>3017</v>
      </c>
      <c r="D413" s="5279" t="s">
        <v>3018</v>
      </c>
      <c r="E413" s="5279" t="s">
        <v>3019</v>
      </c>
      <c r="F413" s="5279" t="s">
        <v>2450</v>
      </c>
      <c r="G413" s="5279" t="s">
        <v>28</v>
      </c>
      <c r="H413" s="5279" t="s">
        <v>28</v>
      </c>
      <c r="I413" s="5279" t="s">
        <v>997</v>
      </c>
    </row>
    <row customHeight="1" ht="11.25">
      <c r="A414" s="5279" t="s">
        <v>2344</v>
      </c>
      <c r="B414" s="5279" t="s">
        <v>16</v>
      </c>
      <c r="C414" s="5279" t="s">
        <v>3020</v>
      </c>
      <c r="D414" s="5279" t="s">
        <v>3021</v>
      </c>
      <c r="E414" s="5279" t="s">
        <v>3022</v>
      </c>
      <c r="F414" s="5279" t="s">
        <v>2347</v>
      </c>
      <c r="G414" s="5279" t="s">
        <v>28</v>
      </c>
      <c r="H414" s="5279" t="s">
        <v>28</v>
      </c>
      <c r="I414" s="5279" t="s">
        <v>997</v>
      </c>
    </row>
    <row customHeight="1" ht="11.25">
      <c r="A415" s="5279" t="s">
        <v>2344</v>
      </c>
      <c r="B415" s="5279" t="s">
        <v>16</v>
      </c>
      <c r="C415" s="5279" t="s">
        <v>3026</v>
      </c>
      <c r="D415" s="5279" t="s">
        <v>3027</v>
      </c>
      <c r="E415" s="5279" t="s">
        <v>3028</v>
      </c>
      <c r="F415" s="5279" t="s">
        <v>2396</v>
      </c>
      <c r="G415" s="5279" t="s">
        <v>3029</v>
      </c>
      <c r="H415" s="5279" t="s">
        <v>28</v>
      </c>
      <c r="I415" s="5279" t="s">
        <v>997</v>
      </c>
    </row>
    <row customHeight="1" ht="11.25">
      <c r="A416" s="5279" t="s">
        <v>2344</v>
      </c>
      <c r="B416" s="5279" t="s">
        <v>16</v>
      </c>
      <c r="C416" s="5279" t="s">
        <v>3030</v>
      </c>
      <c r="D416" s="5279" t="s">
        <v>3031</v>
      </c>
      <c r="E416" s="5279" t="s">
        <v>2346</v>
      </c>
      <c r="F416" s="5279" t="s">
        <v>2347</v>
      </c>
      <c r="G416" s="5279" t="s">
        <v>28</v>
      </c>
      <c r="H416" s="5279" t="s">
        <v>28</v>
      </c>
      <c r="I416" s="5279" t="s">
        <v>997</v>
      </c>
    </row>
    <row customHeight="1" ht="11.25">
      <c r="A417" s="5279" t="s">
        <v>2344</v>
      </c>
      <c r="B417" s="5279" t="s">
        <v>16</v>
      </c>
      <c r="C417" s="5279" t="s">
        <v>3032</v>
      </c>
      <c r="D417" s="5279" t="s">
        <v>3033</v>
      </c>
      <c r="E417" s="5279" t="s">
        <v>3034</v>
      </c>
      <c r="F417" s="5279" t="s">
        <v>2351</v>
      </c>
      <c r="G417" s="5279" t="s">
        <v>28</v>
      </c>
      <c r="H417" s="5279" t="s">
        <v>28</v>
      </c>
      <c r="I417" s="5279" t="s">
        <v>997</v>
      </c>
    </row>
    <row customHeight="1" ht="11.25">
      <c r="A418" s="5279" t="s">
        <v>2344</v>
      </c>
      <c r="B418" s="5279" t="s">
        <v>16</v>
      </c>
      <c r="C418" s="5279" t="s">
        <v>3035</v>
      </c>
      <c r="D418" s="5279" t="s">
        <v>3036</v>
      </c>
      <c r="E418" s="5279" t="s">
        <v>3037</v>
      </c>
      <c r="F418" s="5279" t="s">
        <v>2351</v>
      </c>
      <c r="G418" s="5279" t="s">
        <v>28</v>
      </c>
      <c r="H418" s="5279" t="s">
        <v>28</v>
      </c>
      <c r="I418" s="5279" t="s">
        <v>997</v>
      </c>
    </row>
    <row customHeight="1" ht="11.25">
      <c r="A419" s="5279" t="s">
        <v>2344</v>
      </c>
      <c r="B419" s="5279" t="s">
        <v>16</v>
      </c>
      <c r="C419" s="5279" t="s">
        <v>2691</v>
      </c>
      <c r="D419" s="5279" t="s">
        <v>2692</v>
      </c>
      <c r="E419" s="5279" t="s">
        <v>2693</v>
      </c>
      <c r="F419" s="5279" t="s">
        <v>2359</v>
      </c>
      <c r="G419" s="5279" t="s">
        <v>28</v>
      </c>
      <c r="H419" s="5279" t="s">
        <v>28</v>
      </c>
      <c r="I419" s="5279" t="s">
        <v>997</v>
      </c>
    </row>
    <row customHeight="1" ht="11.25">
      <c r="A420" s="5279" t="s">
        <v>2344</v>
      </c>
      <c r="B420" s="5279" t="s">
        <v>16</v>
      </c>
      <c r="C420" s="5279" t="s">
        <v>2702</v>
      </c>
      <c r="D420" s="5279" t="s">
        <v>2703</v>
      </c>
      <c r="E420" s="5279" t="s">
        <v>2704</v>
      </c>
      <c r="F420" s="5279" t="s">
        <v>2673</v>
      </c>
      <c r="G420" s="5279" t="s">
        <v>2705</v>
      </c>
      <c r="H420" s="5279" t="s">
        <v>28</v>
      </c>
      <c r="I420" s="5279" t="s">
        <v>997</v>
      </c>
    </row>
    <row customHeight="1" ht="11.25">
      <c r="A421" s="5279" t="s">
        <v>2344</v>
      </c>
      <c r="B421" s="5279" t="s">
        <v>16</v>
      </c>
      <c r="C421" s="5279" t="s">
        <v>2706</v>
      </c>
      <c r="D421" s="5279" t="s">
        <v>2707</v>
      </c>
      <c r="E421" s="5279" t="s">
        <v>2708</v>
      </c>
      <c r="F421" s="5279" t="s">
        <v>2396</v>
      </c>
      <c r="G421" s="5279" t="s">
        <v>2709</v>
      </c>
      <c r="H421" s="5279" t="s">
        <v>28</v>
      </c>
      <c r="I421" s="5279" t="s">
        <v>997</v>
      </c>
    </row>
    <row customHeight="1" ht="11.25">
      <c r="A422" s="5279" t="s">
        <v>2344</v>
      </c>
      <c r="B422" s="5279" t="s">
        <v>16</v>
      </c>
      <c r="C422" s="5279" t="s">
        <v>3044</v>
      </c>
      <c r="D422" s="5279" t="s">
        <v>3045</v>
      </c>
      <c r="E422" s="5279" t="s">
        <v>3046</v>
      </c>
      <c r="F422" s="5279" t="s">
        <v>3047</v>
      </c>
      <c r="G422" s="5279" t="s">
        <v>28</v>
      </c>
      <c r="H422" s="5279" t="s">
        <v>28</v>
      </c>
      <c r="I422" s="5279" t="s">
        <v>997</v>
      </c>
    </row>
    <row customHeight="1" ht="11.25">
      <c r="A423" s="5279" t="s">
        <v>2344</v>
      </c>
      <c r="B423" s="5279" t="s">
        <v>16</v>
      </c>
      <c r="C423" s="5279" t="s">
        <v>3048</v>
      </c>
      <c r="D423" s="5279" t="s">
        <v>3049</v>
      </c>
      <c r="E423" s="5279" t="s">
        <v>3050</v>
      </c>
      <c r="F423" s="5279" t="s">
        <v>2479</v>
      </c>
      <c r="G423" s="5279" t="s">
        <v>28</v>
      </c>
      <c r="H423" s="5279" t="s">
        <v>28</v>
      </c>
      <c r="I423" s="5279" t="s">
        <v>997</v>
      </c>
    </row>
    <row customHeight="1" ht="11.25">
      <c r="A424" s="5279" t="s">
        <v>2344</v>
      </c>
      <c r="B424" s="5279" t="s">
        <v>16</v>
      </c>
      <c r="C424" s="5279" t="s">
        <v>2720</v>
      </c>
      <c r="D424" s="5279" t="s">
        <v>2721</v>
      </c>
      <c r="E424" s="5279" t="s">
        <v>2722</v>
      </c>
      <c r="F424" s="5279" t="s">
        <v>2547</v>
      </c>
      <c r="G424" s="5279" t="s">
        <v>28</v>
      </c>
      <c r="H424" s="5279" t="s">
        <v>28</v>
      </c>
      <c r="I424" s="5279" t="s">
        <v>997</v>
      </c>
    </row>
    <row customHeight="1" ht="11.25">
      <c r="A425" s="5279" t="s">
        <v>2344</v>
      </c>
      <c r="B425" s="5279" t="s">
        <v>16</v>
      </c>
      <c r="C425" s="5279" t="s">
        <v>2723</v>
      </c>
      <c r="D425" s="5279" t="s">
        <v>2724</v>
      </c>
      <c r="E425" s="5279" t="s">
        <v>2725</v>
      </c>
      <c r="F425" s="5279" t="s">
        <v>2726</v>
      </c>
      <c r="G425" s="5279" t="s">
        <v>2727</v>
      </c>
      <c r="H425" s="5279" t="s">
        <v>28</v>
      </c>
      <c r="I425" s="5279" t="s">
        <v>997</v>
      </c>
    </row>
    <row customHeight="1" ht="11.25">
      <c r="A426" s="5279" t="s">
        <v>2344</v>
      </c>
      <c r="B426" s="5279" t="s">
        <v>16</v>
      </c>
      <c r="C426" s="5279" t="s">
        <v>2728</v>
      </c>
      <c r="D426" s="5279" t="s">
        <v>2729</v>
      </c>
      <c r="E426" s="5279" t="s">
        <v>2730</v>
      </c>
      <c r="F426" s="5279" t="s">
        <v>2547</v>
      </c>
      <c r="G426" s="5279" t="s">
        <v>28</v>
      </c>
      <c r="H426" s="5279" t="s">
        <v>28</v>
      </c>
      <c r="I426" s="5279" t="s">
        <v>997</v>
      </c>
    </row>
    <row customHeight="1" ht="11.25">
      <c r="A427" s="5279" t="s">
        <v>2344</v>
      </c>
      <c r="B427" s="5279" t="s">
        <v>16</v>
      </c>
      <c r="C427" s="5279" t="s">
        <v>2734</v>
      </c>
      <c r="D427" s="5279" t="s">
        <v>2735</v>
      </c>
      <c r="E427" s="5279" t="s">
        <v>2736</v>
      </c>
      <c r="F427" s="5279" t="s">
        <v>2479</v>
      </c>
      <c r="G427" s="5279" t="s">
        <v>28</v>
      </c>
      <c r="H427" s="5279" t="s">
        <v>28</v>
      </c>
      <c r="I427" s="5279" t="s">
        <v>997</v>
      </c>
    </row>
    <row customHeight="1" ht="11.25">
      <c r="A428" s="5279" t="s">
        <v>2344</v>
      </c>
      <c r="B428" s="5279" t="s">
        <v>16</v>
      </c>
      <c r="C428" s="5279" t="s">
        <v>3051</v>
      </c>
      <c r="D428" s="5279" t="s">
        <v>3052</v>
      </c>
      <c r="E428" s="5279" t="s">
        <v>3053</v>
      </c>
      <c r="F428" s="5279" t="s">
        <v>2864</v>
      </c>
      <c r="G428" s="5279" t="s">
        <v>28</v>
      </c>
      <c r="H428" s="5279" t="s">
        <v>28</v>
      </c>
      <c r="I428" s="5279" t="s">
        <v>997</v>
      </c>
    </row>
    <row customHeight="1" ht="11.25">
      <c r="A429" s="5279" t="s">
        <v>2344</v>
      </c>
      <c r="B429" s="5279" t="s">
        <v>16</v>
      </c>
      <c r="C429" s="5279" t="s">
        <v>3054</v>
      </c>
      <c r="D429" s="5279" t="s">
        <v>3055</v>
      </c>
      <c r="E429" s="5279" t="s">
        <v>3056</v>
      </c>
      <c r="F429" s="5279" t="s">
        <v>2864</v>
      </c>
      <c r="G429" s="5279" t="s">
        <v>28</v>
      </c>
      <c r="H429" s="5279" t="s">
        <v>28</v>
      </c>
      <c r="I429" s="5279" t="s">
        <v>997</v>
      </c>
    </row>
    <row customHeight="1" ht="11.25">
      <c r="A430" s="5279" t="s">
        <v>2344</v>
      </c>
      <c r="B430" s="5279" t="s">
        <v>16</v>
      </c>
      <c r="C430" s="5279" t="s">
        <v>3057</v>
      </c>
      <c r="D430" s="5279" t="s">
        <v>3058</v>
      </c>
      <c r="E430" s="5279" t="s">
        <v>3059</v>
      </c>
      <c r="F430" s="5279" t="s">
        <v>2376</v>
      </c>
      <c r="G430" s="5279" t="s">
        <v>28</v>
      </c>
      <c r="H430" s="5279" t="s">
        <v>28</v>
      </c>
      <c r="I430" s="5279" t="s">
        <v>997</v>
      </c>
    </row>
    <row customHeight="1" ht="11.25">
      <c r="A431" s="5279" t="s">
        <v>2344</v>
      </c>
      <c r="B431" s="5279" t="s">
        <v>16</v>
      </c>
      <c r="C431" s="5279" t="s">
        <v>2737</v>
      </c>
      <c r="D431" s="5279" t="s">
        <v>2738</v>
      </c>
      <c r="E431" s="5279" t="s">
        <v>2739</v>
      </c>
      <c r="F431" s="5279" t="s">
        <v>2355</v>
      </c>
      <c r="G431" s="5279" t="s">
        <v>28</v>
      </c>
      <c r="H431" s="5279" t="s">
        <v>28</v>
      </c>
      <c r="I431" s="5279" t="s">
        <v>997</v>
      </c>
    </row>
    <row customHeight="1" ht="11.25">
      <c r="A432" s="5279" t="s">
        <v>2344</v>
      </c>
      <c r="B432" s="5279" t="s">
        <v>16</v>
      </c>
      <c r="C432" s="5279" t="s">
        <v>2740</v>
      </c>
      <c r="D432" s="5279" t="s">
        <v>2741</v>
      </c>
      <c r="E432" s="5279" t="s">
        <v>2742</v>
      </c>
      <c r="F432" s="5279" t="s">
        <v>2743</v>
      </c>
      <c r="G432" s="5279" t="s">
        <v>28</v>
      </c>
      <c r="H432" s="5279" t="s">
        <v>28</v>
      </c>
      <c r="I432" s="5279" t="s">
        <v>997</v>
      </c>
    </row>
    <row customHeight="1" ht="11.25">
      <c r="A433" s="5279" t="s">
        <v>2344</v>
      </c>
      <c r="B433" s="5279" t="s">
        <v>16</v>
      </c>
      <c r="C433" s="5279" t="s">
        <v>3069</v>
      </c>
      <c r="D433" s="5279" t="s">
        <v>3070</v>
      </c>
      <c r="E433" s="5279" t="s">
        <v>3071</v>
      </c>
      <c r="F433" s="5279" t="s">
        <v>2923</v>
      </c>
      <c r="G433" s="5279" t="s">
        <v>3072</v>
      </c>
      <c r="H433" s="5279" t="s">
        <v>28</v>
      </c>
      <c r="I433" s="5279" t="s">
        <v>997</v>
      </c>
    </row>
    <row customHeight="1" ht="11.25">
      <c r="A434" s="5279" t="s">
        <v>2344</v>
      </c>
      <c r="B434" s="5279" t="s">
        <v>16</v>
      </c>
      <c r="C434" s="5279" t="s">
        <v>3073</v>
      </c>
      <c r="D434" s="5279" t="s">
        <v>3074</v>
      </c>
      <c r="E434" s="5279" t="s">
        <v>3075</v>
      </c>
      <c r="F434" s="5279" t="s">
        <v>2450</v>
      </c>
      <c r="G434" s="5279" t="s">
        <v>28</v>
      </c>
      <c r="H434" s="5279" t="s">
        <v>28</v>
      </c>
      <c r="I434" s="5279" t="s">
        <v>997</v>
      </c>
    </row>
    <row customHeight="1" ht="11.25">
      <c r="A435" s="5279" t="s">
        <v>2344</v>
      </c>
      <c r="B435" s="5279" t="s">
        <v>16</v>
      </c>
      <c r="C435" s="5279" t="s">
        <v>3076</v>
      </c>
      <c r="D435" s="5279" t="s">
        <v>3077</v>
      </c>
      <c r="E435" s="5279" t="s">
        <v>3078</v>
      </c>
      <c r="F435" s="5279" t="s">
        <v>2471</v>
      </c>
      <c r="G435" s="5279" t="s">
        <v>28</v>
      </c>
      <c r="H435" s="5279" t="s">
        <v>28</v>
      </c>
      <c r="I435" s="5279" t="s">
        <v>997</v>
      </c>
    </row>
    <row customHeight="1" ht="11.25">
      <c r="A436" s="5279" t="s">
        <v>2344</v>
      </c>
      <c r="B436" s="5279" t="s">
        <v>16</v>
      </c>
      <c r="C436" s="5279" t="s">
        <v>3085</v>
      </c>
      <c r="D436" s="5279" t="s">
        <v>3086</v>
      </c>
      <c r="E436" s="5279" t="s">
        <v>3087</v>
      </c>
      <c r="F436" s="5279" t="s">
        <v>2864</v>
      </c>
      <c r="G436" s="5279" t="s">
        <v>3088</v>
      </c>
      <c r="H436" s="5279" t="s">
        <v>28</v>
      </c>
      <c r="I436" s="5279" t="s">
        <v>997</v>
      </c>
    </row>
    <row customHeight="1" ht="11.25">
      <c r="A437" s="5279" t="s">
        <v>2344</v>
      </c>
      <c r="B437" s="5279" t="s">
        <v>16</v>
      </c>
      <c r="C437" s="5279" t="s">
        <v>3089</v>
      </c>
      <c r="D437" s="5279" t="s">
        <v>3090</v>
      </c>
      <c r="E437" s="5279" t="s">
        <v>3091</v>
      </c>
      <c r="F437" s="5279" t="s">
        <v>2405</v>
      </c>
      <c r="G437" s="5279" t="s">
        <v>28</v>
      </c>
      <c r="H437" s="5279" t="s">
        <v>28</v>
      </c>
      <c r="I437" s="5279" t="s">
        <v>997</v>
      </c>
    </row>
    <row customHeight="1" ht="11.25">
      <c r="A438" s="5279" t="s">
        <v>2344</v>
      </c>
      <c r="B438" s="5279" t="s">
        <v>16</v>
      </c>
      <c r="C438" s="5279" t="s">
        <v>2770</v>
      </c>
      <c r="D438" s="5279" t="s">
        <v>2771</v>
      </c>
      <c r="E438" s="5279" t="s">
        <v>2772</v>
      </c>
      <c r="F438" s="5279" t="s">
        <v>2376</v>
      </c>
      <c r="G438" s="5279" t="s">
        <v>28</v>
      </c>
      <c r="H438" s="5279" t="s">
        <v>28</v>
      </c>
      <c r="I438" s="5279" t="s">
        <v>997</v>
      </c>
    </row>
    <row customHeight="1" ht="11.25">
      <c r="A439" s="5279" t="s">
        <v>2344</v>
      </c>
      <c r="B439" s="5279" t="s">
        <v>16</v>
      </c>
      <c r="C439" s="5279" t="s">
        <v>28</v>
      </c>
      <c r="D439" s="5279" t="s">
        <v>2345</v>
      </c>
      <c r="E439" s="5279" t="s">
        <v>2346</v>
      </c>
      <c r="F439" s="5279" t="s">
        <v>2347</v>
      </c>
      <c r="G439" s="5279" t="s">
        <v>28</v>
      </c>
      <c r="H439" s="5279" t="s">
        <v>28</v>
      </c>
      <c r="I439" s="5279" t="s">
        <v>1716</v>
      </c>
    </row>
    <row customHeight="1" ht="11.25">
      <c r="A440" s="5279" t="s">
        <v>2344</v>
      </c>
      <c r="B440" s="5279" t="s">
        <v>16</v>
      </c>
      <c r="C440" s="5279" t="s">
        <v>3120</v>
      </c>
      <c r="D440" s="5279" t="s">
        <v>3121</v>
      </c>
      <c r="E440" s="5279" t="s">
        <v>3122</v>
      </c>
      <c r="F440" s="5279" t="s">
        <v>666</v>
      </c>
      <c r="G440" s="5279" t="s">
        <v>3123</v>
      </c>
      <c r="H440" s="5279" t="s">
        <v>28</v>
      </c>
      <c r="I440" s="5279" t="s">
        <v>1716</v>
      </c>
    </row>
    <row customHeight="1" ht="11.25">
      <c r="A441" s="5279" t="s">
        <v>2344</v>
      </c>
      <c r="B441" s="5279" t="s">
        <v>16</v>
      </c>
      <c r="C441" s="5279" t="s">
        <v>2486</v>
      </c>
      <c r="D441" s="5279" t="s">
        <v>2487</v>
      </c>
      <c r="E441" s="5279" t="s">
        <v>2488</v>
      </c>
      <c r="F441" s="5279" t="s">
        <v>2489</v>
      </c>
      <c r="G441" s="5279" t="s">
        <v>28</v>
      </c>
      <c r="H441" s="5279" t="s">
        <v>28</v>
      </c>
      <c r="I441" s="5279" t="s">
        <v>1716</v>
      </c>
    </row>
    <row customHeight="1" ht="11.25">
      <c r="A442" s="5279" t="s">
        <v>2344</v>
      </c>
      <c r="B442" s="5279" t="s">
        <v>16</v>
      </c>
      <c r="C442" s="5279" t="s">
        <v>2838</v>
      </c>
      <c r="D442" s="5279" t="s">
        <v>2839</v>
      </c>
      <c r="E442" s="5279" t="s">
        <v>2840</v>
      </c>
      <c r="F442" s="5279" t="s">
        <v>2578</v>
      </c>
      <c r="G442" s="5279" t="s">
        <v>28</v>
      </c>
      <c r="H442" s="5279" t="s">
        <v>28</v>
      </c>
      <c r="I442" s="5279" t="s">
        <v>1716</v>
      </c>
    </row>
    <row customHeight="1" ht="11.25">
      <c r="A443" s="5279" t="s">
        <v>2344</v>
      </c>
      <c r="B443" s="5279" t="s">
        <v>16</v>
      </c>
      <c r="C443" s="5279" t="s">
        <v>3124</v>
      </c>
      <c r="D443" s="5279" t="s">
        <v>3125</v>
      </c>
      <c r="E443" s="5279" t="s">
        <v>3126</v>
      </c>
      <c r="F443" s="5279" t="s">
        <v>2591</v>
      </c>
      <c r="G443" s="5279" t="s">
        <v>3127</v>
      </c>
      <c r="H443" s="5279" t="s">
        <v>28</v>
      </c>
      <c r="I443" s="5279" t="s">
        <v>1716</v>
      </c>
    </row>
    <row customHeight="1" ht="11.25">
      <c r="A444" s="5279" t="s">
        <v>2344</v>
      </c>
      <c r="B444" s="5279" t="s">
        <v>16</v>
      </c>
      <c r="C444" s="5279" t="s">
        <v>2499</v>
      </c>
      <c r="D444" s="5279" t="s">
        <v>2500</v>
      </c>
      <c r="E444" s="5279" t="s">
        <v>2501</v>
      </c>
      <c r="F444" s="5279" t="s">
        <v>2376</v>
      </c>
      <c r="G444" s="5279" t="s">
        <v>28</v>
      </c>
      <c r="H444" s="5279" t="s">
        <v>28</v>
      </c>
      <c r="I444" s="5279" t="s">
        <v>1716</v>
      </c>
    </row>
    <row customHeight="1" ht="11.25">
      <c r="A445" s="5279" t="s">
        <v>2344</v>
      </c>
      <c r="B445" s="5279" t="s">
        <v>16</v>
      </c>
      <c r="C445" s="5279" t="s">
        <v>3128</v>
      </c>
      <c r="D445" s="5279" t="s">
        <v>3129</v>
      </c>
      <c r="E445" s="5279" t="s">
        <v>3130</v>
      </c>
      <c r="F445" s="5279" t="s">
        <v>2471</v>
      </c>
      <c r="G445" s="5279" t="s">
        <v>28</v>
      </c>
      <c r="H445" s="5279" t="s">
        <v>28</v>
      </c>
      <c r="I445" s="5279" t="s">
        <v>1716</v>
      </c>
    </row>
    <row customHeight="1" ht="11.25">
      <c r="A446" s="5279" t="s">
        <v>2344</v>
      </c>
      <c r="B446" s="5279" t="s">
        <v>16</v>
      </c>
      <c r="C446" s="5279" t="s">
        <v>2506</v>
      </c>
      <c r="D446" s="5279" t="s">
        <v>2507</v>
      </c>
      <c r="E446" s="5279" t="s">
        <v>2508</v>
      </c>
      <c r="F446" s="5279" t="s">
        <v>2509</v>
      </c>
      <c r="G446" s="5279" t="s">
        <v>28</v>
      </c>
      <c r="H446" s="5279" t="s">
        <v>28</v>
      </c>
      <c r="I446" s="5279" t="s">
        <v>1716</v>
      </c>
    </row>
    <row customHeight="1" ht="11.25">
      <c r="A447" s="5279" t="s">
        <v>2344</v>
      </c>
      <c r="B447" s="5279" t="s">
        <v>16</v>
      </c>
      <c r="C447" s="5279" t="s">
        <v>2510</v>
      </c>
      <c r="D447" s="5279" t="s">
        <v>2511</v>
      </c>
      <c r="E447" s="5279" t="s">
        <v>2512</v>
      </c>
      <c r="F447" s="5279" t="s">
        <v>2509</v>
      </c>
      <c r="G447" s="5279" t="s">
        <v>28</v>
      </c>
      <c r="H447" s="5279" t="s">
        <v>28</v>
      </c>
      <c r="I447" s="5279" t="s">
        <v>1716</v>
      </c>
    </row>
    <row customHeight="1" ht="11.25">
      <c r="A448" s="5279" t="s">
        <v>2344</v>
      </c>
      <c r="B448" s="5279" t="s">
        <v>16</v>
      </c>
      <c r="C448" s="5279" t="s">
        <v>3131</v>
      </c>
      <c r="D448" s="5279" t="s">
        <v>3132</v>
      </c>
      <c r="E448" s="5279" t="s">
        <v>3133</v>
      </c>
      <c r="F448" s="5279" t="s">
        <v>2516</v>
      </c>
      <c r="G448" s="5279" t="s">
        <v>3134</v>
      </c>
      <c r="H448" s="5279" t="s">
        <v>28</v>
      </c>
      <c r="I448" s="5279" t="s">
        <v>1716</v>
      </c>
    </row>
    <row customHeight="1" ht="11.25">
      <c r="A449" s="5279" t="s">
        <v>2344</v>
      </c>
      <c r="B449" s="5279" t="s">
        <v>16</v>
      </c>
      <c r="C449" s="5279" t="s">
        <v>3135</v>
      </c>
      <c r="D449" s="5279" t="s">
        <v>3136</v>
      </c>
      <c r="E449" s="5279" t="s">
        <v>3137</v>
      </c>
      <c r="F449" s="5279" t="s">
        <v>2498</v>
      </c>
      <c r="G449" s="5279" t="s">
        <v>28</v>
      </c>
      <c r="H449" s="5279" t="s">
        <v>28</v>
      </c>
      <c r="I449" s="5279" t="s">
        <v>1716</v>
      </c>
    </row>
    <row customHeight="1" ht="11.25">
      <c r="A450" s="5279" t="s">
        <v>2344</v>
      </c>
      <c r="B450" s="5279" t="s">
        <v>16</v>
      </c>
      <c r="C450" s="5279" t="s">
        <v>3138</v>
      </c>
      <c r="D450" s="5279" t="s">
        <v>3139</v>
      </c>
      <c r="E450" s="5279" t="s">
        <v>3140</v>
      </c>
      <c r="F450" s="5279" t="s">
        <v>2384</v>
      </c>
      <c r="G450" s="5279" t="s">
        <v>28</v>
      </c>
      <c r="H450" s="5279" t="s">
        <v>28</v>
      </c>
      <c r="I450" s="5279" t="s">
        <v>1716</v>
      </c>
    </row>
    <row customHeight="1" ht="11.25">
      <c r="A451" s="5279" t="s">
        <v>2344</v>
      </c>
      <c r="B451" s="5279" t="s">
        <v>16</v>
      </c>
      <c r="C451" s="5279" t="s">
        <v>3141</v>
      </c>
      <c r="D451" s="5279" t="s">
        <v>3142</v>
      </c>
      <c r="E451" s="5279" t="s">
        <v>3143</v>
      </c>
      <c r="F451" s="5279" t="s">
        <v>2347</v>
      </c>
      <c r="G451" s="5279" t="s">
        <v>3144</v>
      </c>
      <c r="H451" s="5279" t="s">
        <v>28</v>
      </c>
      <c r="I451" s="5279" t="s">
        <v>1716</v>
      </c>
    </row>
    <row customHeight="1" ht="11.25">
      <c r="A452" s="5279" t="s">
        <v>2344</v>
      </c>
      <c r="B452" s="5279" t="s">
        <v>16</v>
      </c>
      <c r="C452" s="5279" t="s">
        <v>3145</v>
      </c>
      <c r="D452" s="5279" t="s">
        <v>3146</v>
      </c>
      <c r="E452" s="5279" t="s">
        <v>3147</v>
      </c>
      <c r="F452" s="5279" t="s">
        <v>2540</v>
      </c>
      <c r="G452" s="5279" t="s">
        <v>3148</v>
      </c>
      <c r="H452" s="5279" t="s">
        <v>28</v>
      </c>
      <c r="I452" s="5279" t="s">
        <v>1716</v>
      </c>
    </row>
    <row customHeight="1" ht="11.25">
      <c r="A453" s="5279" t="s">
        <v>2344</v>
      </c>
      <c r="B453" s="5279" t="s">
        <v>16</v>
      </c>
      <c r="C453" s="5279" t="s">
        <v>3149</v>
      </c>
      <c r="D453" s="5279" t="s">
        <v>3150</v>
      </c>
      <c r="E453" s="5279" t="s">
        <v>3151</v>
      </c>
      <c r="F453" s="5279" t="s">
        <v>2591</v>
      </c>
      <c r="G453" s="5279" t="s">
        <v>3152</v>
      </c>
      <c r="H453" s="5279" t="s">
        <v>28</v>
      </c>
      <c r="I453" s="5279" t="s">
        <v>1716</v>
      </c>
    </row>
    <row customHeight="1" ht="11.25">
      <c r="A454" s="5279" t="s">
        <v>2344</v>
      </c>
      <c r="B454" s="5279" t="s">
        <v>16</v>
      </c>
      <c r="C454" s="5279" t="s">
        <v>3153</v>
      </c>
      <c r="D454" s="5279" t="s">
        <v>3154</v>
      </c>
      <c r="E454" s="5279" t="s">
        <v>3155</v>
      </c>
      <c r="F454" s="5279" t="s">
        <v>2619</v>
      </c>
      <c r="G454" s="5279" t="s">
        <v>3156</v>
      </c>
      <c r="H454" s="5279" t="s">
        <v>28</v>
      </c>
      <c r="I454" s="5279" t="s">
        <v>1716</v>
      </c>
    </row>
    <row customHeight="1" ht="11.25">
      <c r="A455" s="5279" t="s">
        <v>2344</v>
      </c>
      <c r="B455" s="5279" t="s">
        <v>16</v>
      </c>
      <c r="C455" s="5279" t="s">
        <v>3157</v>
      </c>
      <c r="D455" s="5279" t="s">
        <v>3158</v>
      </c>
      <c r="E455" s="5279" t="s">
        <v>3159</v>
      </c>
      <c r="F455" s="5279" t="s">
        <v>2687</v>
      </c>
      <c r="G455" s="5279" t="s">
        <v>3160</v>
      </c>
      <c r="H455" s="5279" t="s">
        <v>28</v>
      </c>
      <c r="I455" s="5279" t="s">
        <v>1716</v>
      </c>
    </row>
    <row customHeight="1" ht="11.25">
      <c r="A456" s="5279" t="s">
        <v>2344</v>
      </c>
      <c r="B456" s="5279" t="s">
        <v>16</v>
      </c>
      <c r="C456" s="5279" t="s">
        <v>3161</v>
      </c>
      <c r="D456" s="5279" t="s">
        <v>3162</v>
      </c>
      <c r="E456" s="5279" t="s">
        <v>3163</v>
      </c>
      <c r="F456" s="5279" t="s">
        <v>2853</v>
      </c>
      <c r="G456" s="5279" t="s">
        <v>3164</v>
      </c>
      <c r="H456" s="5279" t="s">
        <v>28</v>
      </c>
      <c r="I456" s="5279" t="s">
        <v>1716</v>
      </c>
    </row>
    <row customHeight="1" ht="11.25">
      <c r="A457" s="5279" t="s">
        <v>2344</v>
      </c>
      <c r="B457" s="5279" t="s">
        <v>16</v>
      </c>
      <c r="C457" s="5279" t="s">
        <v>2954</v>
      </c>
      <c r="D457" s="5279" t="s">
        <v>2955</v>
      </c>
      <c r="E457" s="5279" t="s">
        <v>2956</v>
      </c>
      <c r="F457" s="5279" t="s">
        <v>2578</v>
      </c>
      <c r="G457" s="5279" t="s">
        <v>28</v>
      </c>
      <c r="H457" s="5279" t="s">
        <v>28</v>
      </c>
      <c r="I457" s="5279" t="s">
        <v>1716</v>
      </c>
    </row>
    <row customHeight="1" ht="11.25">
      <c r="A458" s="5279" t="s">
        <v>2344</v>
      </c>
      <c r="B458" s="5279" t="s">
        <v>16</v>
      </c>
      <c r="C458" s="5279" t="s">
        <v>3165</v>
      </c>
      <c r="D458" s="5279" t="s">
        <v>3166</v>
      </c>
      <c r="E458" s="5279" t="s">
        <v>3167</v>
      </c>
      <c r="F458" s="5279" t="s">
        <v>2769</v>
      </c>
      <c r="G458" s="5279" t="s">
        <v>3168</v>
      </c>
      <c r="H458" s="5279" t="s">
        <v>28</v>
      </c>
      <c r="I458" s="5279" t="s">
        <v>1716</v>
      </c>
    </row>
    <row customHeight="1" ht="11.25">
      <c r="A459" s="5279" t="s">
        <v>2344</v>
      </c>
      <c r="B459" s="5279" t="s">
        <v>16</v>
      </c>
      <c r="C459" s="5279" t="s">
        <v>3169</v>
      </c>
      <c r="D459" s="5279" t="s">
        <v>3170</v>
      </c>
      <c r="E459" s="5279" t="s">
        <v>3171</v>
      </c>
      <c r="F459" s="5279" t="s">
        <v>2405</v>
      </c>
      <c r="G459" s="5279" t="s">
        <v>28</v>
      </c>
      <c r="H459" s="5279" t="s">
        <v>28</v>
      </c>
      <c r="I459" s="5279" t="s">
        <v>1716</v>
      </c>
    </row>
    <row customHeight="1" ht="11.25">
      <c r="A460" s="5279" t="s">
        <v>2344</v>
      </c>
      <c r="B460" s="5279" t="s">
        <v>16</v>
      </c>
      <c r="C460" s="5279" t="s">
        <v>3172</v>
      </c>
      <c r="D460" s="5279" t="s">
        <v>3173</v>
      </c>
      <c r="E460" s="5279" t="s">
        <v>3174</v>
      </c>
      <c r="F460" s="5279" t="s">
        <v>2351</v>
      </c>
      <c r="G460" s="5279" t="s">
        <v>3175</v>
      </c>
      <c r="H460" s="5279" t="s">
        <v>28</v>
      </c>
      <c r="I460" s="5279" t="s">
        <v>1716</v>
      </c>
    </row>
    <row customHeight="1" ht="11.25">
      <c r="A461" s="5279" t="s">
        <v>2344</v>
      </c>
      <c r="B461" s="5279" t="s">
        <v>16</v>
      </c>
      <c r="C461" s="5279" t="s">
        <v>3176</v>
      </c>
      <c r="D461" s="5279" t="s">
        <v>3177</v>
      </c>
      <c r="E461" s="5279" t="s">
        <v>3178</v>
      </c>
      <c r="F461" s="5279" t="s">
        <v>2666</v>
      </c>
      <c r="G461" s="5279" t="s">
        <v>28</v>
      </c>
      <c r="H461" s="5279" t="s">
        <v>28</v>
      </c>
      <c r="I461" s="5279" t="s">
        <v>1716</v>
      </c>
    </row>
    <row customHeight="1" ht="11.25">
      <c r="A462" s="5279" t="s">
        <v>2344</v>
      </c>
      <c r="B462" s="5279" t="s">
        <v>16</v>
      </c>
      <c r="C462" s="5279" t="s">
        <v>3179</v>
      </c>
      <c r="D462" s="5279" t="s">
        <v>3180</v>
      </c>
      <c r="E462" s="5279" t="s">
        <v>3181</v>
      </c>
      <c r="F462" s="5279" t="s">
        <v>2498</v>
      </c>
      <c r="G462" s="5279" t="s">
        <v>3182</v>
      </c>
      <c r="H462" s="5279" t="s">
        <v>28</v>
      </c>
      <c r="I462" s="5279" t="s">
        <v>1716</v>
      </c>
    </row>
    <row customHeight="1" ht="11.25">
      <c r="A463" s="5279" t="s">
        <v>2344</v>
      </c>
      <c r="B463" s="5279" t="s">
        <v>16</v>
      </c>
      <c r="C463" s="5279" t="s">
        <v>3183</v>
      </c>
      <c r="D463" s="5279" t="s">
        <v>3184</v>
      </c>
      <c r="E463" s="5279" t="s">
        <v>3185</v>
      </c>
      <c r="F463" s="5279" t="s">
        <v>2608</v>
      </c>
      <c r="G463" s="5279" t="s">
        <v>28</v>
      </c>
      <c r="H463" s="5279" t="s">
        <v>28</v>
      </c>
      <c r="I463" s="5279" t="s">
        <v>1716</v>
      </c>
    </row>
    <row customHeight="1" ht="11.25">
      <c r="A464" s="5279" t="s">
        <v>2344</v>
      </c>
      <c r="B464" s="5279" t="s">
        <v>16</v>
      </c>
      <c r="C464" s="5279" t="s">
        <v>3186</v>
      </c>
      <c r="D464" s="5279" t="s">
        <v>3187</v>
      </c>
      <c r="E464" s="5279" t="s">
        <v>3188</v>
      </c>
      <c r="F464" s="5279" t="s">
        <v>2351</v>
      </c>
      <c r="G464" s="5279" t="s">
        <v>3189</v>
      </c>
      <c r="H464" s="5279" t="s">
        <v>28</v>
      </c>
      <c r="I464" s="5279" t="s">
        <v>1716</v>
      </c>
    </row>
    <row customHeight="1" ht="11.25">
      <c r="A465" s="5279" t="s">
        <v>2344</v>
      </c>
      <c r="B465" s="5279" t="s">
        <v>16</v>
      </c>
      <c r="C465" s="5279" t="s">
        <v>3190</v>
      </c>
      <c r="D465" s="5279" t="s">
        <v>3191</v>
      </c>
      <c r="E465" s="5279" t="s">
        <v>3192</v>
      </c>
      <c r="F465" s="5279" t="s">
        <v>2347</v>
      </c>
      <c r="G465" s="5279" t="s">
        <v>3193</v>
      </c>
      <c r="H465" s="5279" t="s">
        <v>28</v>
      </c>
      <c r="I465" s="5279" t="s">
        <v>1716</v>
      </c>
    </row>
    <row customHeight="1" ht="11.25">
      <c r="A466" s="5279" t="s">
        <v>2344</v>
      </c>
      <c r="B466" s="5279" t="s">
        <v>16</v>
      </c>
      <c r="C466" s="5279" t="s">
        <v>3194</v>
      </c>
      <c r="D466" s="5279" t="s">
        <v>3195</v>
      </c>
      <c r="E466" s="5279" t="s">
        <v>3196</v>
      </c>
      <c r="F466" s="5279" t="s">
        <v>2450</v>
      </c>
      <c r="G466" s="5279" t="s">
        <v>28</v>
      </c>
      <c r="H466" s="5279" t="s">
        <v>28</v>
      </c>
      <c r="I466" s="5279" t="s">
        <v>1716</v>
      </c>
    </row>
    <row customHeight="1" ht="11.25">
      <c r="A467" s="5279" t="s">
        <v>2344</v>
      </c>
      <c r="B467" s="5279" t="s">
        <v>16</v>
      </c>
      <c r="C467" s="5279" t="s">
        <v>3197</v>
      </c>
      <c r="D467" s="5279" t="s">
        <v>3198</v>
      </c>
      <c r="E467" s="5279" t="s">
        <v>3199</v>
      </c>
      <c r="F467" s="5279" t="s">
        <v>2376</v>
      </c>
      <c r="G467" s="5279" t="s">
        <v>3200</v>
      </c>
      <c r="H467" s="5279" t="s">
        <v>28</v>
      </c>
      <c r="I467" s="5279" t="s">
        <v>1716</v>
      </c>
    </row>
    <row customHeight="1" ht="11.25">
      <c r="A468" s="5279" t="s">
        <v>2344</v>
      </c>
      <c r="B468" s="5279" t="s">
        <v>16</v>
      </c>
      <c r="C468" s="5279" t="s">
        <v>2999</v>
      </c>
      <c r="D468" s="5279" t="s">
        <v>3000</v>
      </c>
      <c r="E468" s="5279" t="s">
        <v>3001</v>
      </c>
      <c r="F468" s="5279" t="s">
        <v>2526</v>
      </c>
      <c r="G468" s="5279" t="s">
        <v>28</v>
      </c>
      <c r="H468" s="5279" t="s">
        <v>28</v>
      </c>
      <c r="I468" s="5279" t="s">
        <v>1716</v>
      </c>
    </row>
    <row customHeight="1" ht="11.25">
      <c r="A469" s="5279" t="s">
        <v>2344</v>
      </c>
      <c r="B469" s="5279" t="s">
        <v>16</v>
      </c>
      <c r="C469" s="5279" t="s">
        <v>3201</v>
      </c>
      <c r="D469" s="5279" t="s">
        <v>3202</v>
      </c>
      <c r="E469" s="5279" t="s">
        <v>3203</v>
      </c>
      <c r="F469" s="5279" t="s">
        <v>2347</v>
      </c>
      <c r="G469" s="5279" t="s">
        <v>3204</v>
      </c>
      <c r="H469" s="5279" t="s">
        <v>28</v>
      </c>
      <c r="I469" s="5279" t="s">
        <v>1716</v>
      </c>
    </row>
    <row customHeight="1" ht="11.25">
      <c r="A470" s="5279" t="s">
        <v>2344</v>
      </c>
      <c r="B470" s="5279" t="s">
        <v>16</v>
      </c>
      <c r="C470" s="5279" t="s">
        <v>3205</v>
      </c>
      <c r="D470" s="5279" t="s">
        <v>3206</v>
      </c>
      <c r="E470" s="5279" t="s">
        <v>3207</v>
      </c>
      <c r="F470" s="5279" t="s">
        <v>2547</v>
      </c>
      <c r="G470" s="5279" t="s">
        <v>3208</v>
      </c>
      <c r="H470" s="5279" t="s">
        <v>28</v>
      </c>
      <c r="I470" s="5279" t="s">
        <v>1716</v>
      </c>
    </row>
    <row customHeight="1" ht="11.25">
      <c r="A471" s="5279" t="s">
        <v>2344</v>
      </c>
      <c r="B471" s="5279" t="s">
        <v>16</v>
      </c>
      <c r="C471" s="5279" t="s">
        <v>3209</v>
      </c>
      <c r="D471" s="5279" t="s">
        <v>3210</v>
      </c>
      <c r="E471" s="5279" t="s">
        <v>3211</v>
      </c>
      <c r="F471" s="5279" t="s">
        <v>2591</v>
      </c>
      <c r="G471" s="5279" t="s">
        <v>3212</v>
      </c>
      <c r="H471" s="5279" t="s">
        <v>28</v>
      </c>
      <c r="I471" s="5279" t="s">
        <v>1716</v>
      </c>
    </row>
    <row customHeight="1" ht="11.25">
      <c r="A472" s="5279" t="s">
        <v>2344</v>
      </c>
      <c r="B472" s="5279" t="s">
        <v>16</v>
      </c>
      <c r="C472" s="5279" t="s">
        <v>3213</v>
      </c>
      <c r="D472" s="5279" t="s">
        <v>3214</v>
      </c>
      <c r="E472" s="5279" t="s">
        <v>3215</v>
      </c>
      <c r="F472" s="5279" t="s">
        <v>2619</v>
      </c>
      <c r="G472" s="5279" t="s">
        <v>3216</v>
      </c>
      <c r="H472" s="5279" t="s">
        <v>28</v>
      </c>
      <c r="I472" s="5279" t="s">
        <v>1716</v>
      </c>
    </row>
    <row customHeight="1" ht="11.25">
      <c r="A473" s="5279" t="s">
        <v>2344</v>
      </c>
      <c r="B473" s="5279" t="s">
        <v>16</v>
      </c>
      <c r="C473" s="5279" t="s">
        <v>3217</v>
      </c>
      <c r="D473" s="5279" t="s">
        <v>3218</v>
      </c>
      <c r="E473" s="5279" t="s">
        <v>3219</v>
      </c>
      <c r="F473" s="5279" t="s">
        <v>2479</v>
      </c>
      <c r="G473" s="5279" t="s">
        <v>3220</v>
      </c>
      <c r="H473" s="5279" t="s">
        <v>28</v>
      </c>
      <c r="I473" s="5279" t="s">
        <v>1716</v>
      </c>
    </row>
    <row customHeight="1" ht="11.25">
      <c r="A474" s="5279" t="s">
        <v>2344</v>
      </c>
      <c r="B474" s="5279" t="s">
        <v>16</v>
      </c>
      <c r="C474" s="5279" t="s">
        <v>3221</v>
      </c>
      <c r="D474" s="5279" t="s">
        <v>3222</v>
      </c>
      <c r="E474" s="5279" t="s">
        <v>3223</v>
      </c>
      <c r="F474" s="5279" t="s">
        <v>2540</v>
      </c>
      <c r="G474" s="5279" t="s">
        <v>3224</v>
      </c>
      <c r="H474" s="5279" t="s">
        <v>28</v>
      </c>
      <c r="I474" s="5279" t="s">
        <v>1716</v>
      </c>
    </row>
    <row customHeight="1" ht="11.25">
      <c r="A475" s="5279" t="s">
        <v>2344</v>
      </c>
      <c r="B475" s="5279" t="s">
        <v>16</v>
      </c>
      <c r="C475" s="5279" t="s">
        <v>3225</v>
      </c>
      <c r="D475" s="5279" t="s">
        <v>3226</v>
      </c>
      <c r="E475" s="5279" t="s">
        <v>3227</v>
      </c>
      <c r="F475" s="5279" t="s">
        <v>2396</v>
      </c>
      <c r="G475" s="5279" t="s">
        <v>3228</v>
      </c>
      <c r="H475" s="5279" t="s">
        <v>28</v>
      </c>
      <c r="I475" s="5279" t="s">
        <v>1716</v>
      </c>
    </row>
    <row customHeight="1" ht="11.25">
      <c r="A476" s="5279" t="s">
        <v>2344</v>
      </c>
      <c r="B476" s="5279" t="s">
        <v>16</v>
      </c>
      <c r="C476" s="5279" t="s">
        <v>3229</v>
      </c>
      <c r="D476" s="5279" t="s">
        <v>3230</v>
      </c>
      <c r="E476" s="5279" t="s">
        <v>3231</v>
      </c>
      <c r="F476" s="5279" t="s">
        <v>2619</v>
      </c>
      <c r="G476" s="5279" t="s">
        <v>28</v>
      </c>
      <c r="H476" s="5279" t="s">
        <v>28</v>
      </c>
      <c r="I476" s="5279" t="s">
        <v>1716</v>
      </c>
    </row>
    <row customHeight="1" ht="11.25">
      <c r="A477" s="5279" t="s">
        <v>2344</v>
      </c>
      <c r="B477" s="5279" t="s">
        <v>16</v>
      </c>
      <c r="C477" s="5279" t="s">
        <v>3232</v>
      </c>
      <c r="D477" s="5279" t="s">
        <v>3233</v>
      </c>
      <c r="E477" s="5279" t="s">
        <v>3234</v>
      </c>
      <c r="F477" s="5279" t="s">
        <v>2540</v>
      </c>
      <c r="G477" s="5279" t="s">
        <v>3235</v>
      </c>
      <c r="H477" s="5279" t="s">
        <v>28</v>
      </c>
      <c r="I477" s="5279" t="s">
        <v>1716</v>
      </c>
    </row>
    <row customHeight="1" ht="11.25">
      <c r="A478" s="5279" t="s">
        <v>2344</v>
      </c>
      <c r="B478" s="5279" t="s">
        <v>16</v>
      </c>
      <c r="C478" s="5279" t="s">
        <v>3236</v>
      </c>
      <c r="D478" s="5279" t="s">
        <v>3237</v>
      </c>
      <c r="E478" s="5279" t="s">
        <v>3238</v>
      </c>
      <c r="F478" s="5279" t="s">
        <v>2384</v>
      </c>
      <c r="G478" s="5279" t="s">
        <v>3239</v>
      </c>
      <c r="H478" s="5279" t="s">
        <v>28</v>
      </c>
      <c r="I478" s="5279" t="s">
        <v>1716</v>
      </c>
    </row>
    <row customHeight="1" ht="11.25">
      <c r="A479" s="5279" t="s">
        <v>2344</v>
      </c>
      <c r="B479" s="5279" t="s">
        <v>16</v>
      </c>
      <c r="C479" s="5279" t="s">
        <v>3240</v>
      </c>
      <c r="D479" s="5279" t="s">
        <v>3241</v>
      </c>
      <c r="E479" s="5279" t="s">
        <v>3242</v>
      </c>
      <c r="F479" s="5279" t="s">
        <v>2351</v>
      </c>
      <c r="G479" s="5279" t="s">
        <v>3243</v>
      </c>
      <c r="H479" s="5279" t="s">
        <v>28</v>
      </c>
      <c r="I479" s="5279" t="s">
        <v>1716</v>
      </c>
    </row>
    <row customHeight="1" ht="11.25">
      <c r="A480" s="5279" t="s">
        <v>2344</v>
      </c>
      <c r="B480" s="5279" t="s">
        <v>16</v>
      </c>
      <c r="C480" s="5279" t="s">
        <v>3244</v>
      </c>
      <c r="D480" s="5279" t="s">
        <v>3245</v>
      </c>
      <c r="E480" s="5279" t="s">
        <v>3246</v>
      </c>
      <c r="F480" s="5279" t="s">
        <v>2351</v>
      </c>
      <c r="G480" s="5279" t="s">
        <v>3247</v>
      </c>
      <c r="H480" s="5279" t="s">
        <v>28</v>
      </c>
      <c r="I480" s="5279" t="s">
        <v>1716</v>
      </c>
    </row>
    <row customHeight="1" ht="11.25">
      <c r="A481" s="5279" t="s">
        <v>2344</v>
      </c>
      <c r="B481" s="5279" t="s">
        <v>16</v>
      </c>
      <c r="C481" s="5279" t="s">
        <v>3248</v>
      </c>
      <c r="D481" s="5279" t="s">
        <v>3249</v>
      </c>
      <c r="E481" s="5279" t="s">
        <v>3250</v>
      </c>
      <c r="F481" s="5279" t="s">
        <v>2471</v>
      </c>
      <c r="G481" s="5279" t="s">
        <v>3251</v>
      </c>
      <c r="H481" s="5279" t="s">
        <v>28</v>
      </c>
      <c r="I481" s="5279" t="s">
        <v>1716</v>
      </c>
    </row>
    <row customHeight="1" ht="11.25">
      <c r="A482" s="5279" t="s">
        <v>2344</v>
      </c>
      <c r="B482" s="5279" t="s">
        <v>16</v>
      </c>
      <c r="C482" s="5279" t="s">
        <v>3252</v>
      </c>
      <c r="D482" s="5279" t="s">
        <v>3253</v>
      </c>
      <c r="E482" s="5279" t="s">
        <v>3254</v>
      </c>
      <c r="F482" s="5279" t="s">
        <v>3047</v>
      </c>
      <c r="G482" s="5279" t="s">
        <v>3255</v>
      </c>
      <c r="H482" s="5279" t="s">
        <v>28</v>
      </c>
      <c r="I482" s="5279" t="s">
        <v>1716</v>
      </c>
    </row>
    <row customHeight="1" ht="11.25">
      <c r="A483" s="5279" t="s">
        <v>2344</v>
      </c>
      <c r="B483" s="5279" t="s">
        <v>16</v>
      </c>
      <c r="C483" s="5279" t="s">
        <v>3256</v>
      </c>
      <c r="D483" s="5279" t="s">
        <v>3257</v>
      </c>
      <c r="E483" s="5279" t="s">
        <v>3258</v>
      </c>
      <c r="F483" s="5279" t="s">
        <v>2405</v>
      </c>
      <c r="G483" s="5279" t="s">
        <v>28</v>
      </c>
      <c r="H483" s="5279" t="s">
        <v>28</v>
      </c>
      <c r="I483" s="5279" t="s">
        <v>1716</v>
      </c>
    </row>
    <row customHeight="1" ht="11.25">
      <c r="A484" s="5279" t="s">
        <v>2344</v>
      </c>
      <c r="B484" s="5279" t="s">
        <v>16</v>
      </c>
      <c r="C484" s="5279" t="s">
        <v>3259</v>
      </c>
      <c r="D484" s="5279" t="s">
        <v>3260</v>
      </c>
      <c r="E484" s="5279" t="s">
        <v>3261</v>
      </c>
      <c r="F484" s="5279" t="s">
        <v>2516</v>
      </c>
      <c r="G484" s="5279" t="s">
        <v>28</v>
      </c>
      <c r="H484" s="5279" t="s">
        <v>28</v>
      </c>
      <c r="I484" s="5279" t="s">
        <v>1716</v>
      </c>
    </row>
    <row customHeight="1" ht="11.25">
      <c r="A485" s="5279" t="s">
        <v>2344</v>
      </c>
      <c r="B485" s="5279" t="s">
        <v>16</v>
      </c>
      <c r="C485" s="5279" t="s">
        <v>3262</v>
      </c>
      <c r="D485" s="5279" t="s">
        <v>3263</v>
      </c>
      <c r="E485" s="5279" t="s">
        <v>3264</v>
      </c>
      <c r="F485" s="5279" t="s">
        <v>2351</v>
      </c>
      <c r="G485" s="5279" t="s">
        <v>28</v>
      </c>
      <c r="H485" s="5279" t="s">
        <v>28</v>
      </c>
      <c r="I485" s="5279" t="s">
        <v>1716</v>
      </c>
    </row>
    <row customHeight="1" ht="11.25">
      <c r="A486" s="5279" t="s">
        <v>2344</v>
      </c>
      <c r="B486" s="5279" t="s">
        <v>16</v>
      </c>
      <c r="C486" s="5279" t="s">
        <v>3265</v>
      </c>
      <c r="D486" s="5279" t="s">
        <v>3266</v>
      </c>
      <c r="E486" s="5279" t="s">
        <v>3267</v>
      </c>
      <c r="F486" s="5279" t="s">
        <v>2743</v>
      </c>
      <c r="G486" s="5279" t="s">
        <v>28</v>
      </c>
      <c r="H486" s="5279" t="s">
        <v>28</v>
      </c>
      <c r="I486" s="5279" t="s">
        <v>1716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150A8-C3BC-06C4-C74B-91B84F3EFE3F}" mc:Ignorable="x14ac xr xr2 xr3">
  <sheetPr>
    <tabColor rgb="FFFFCC99"/>
  </sheetPr>
  <dimension ref="A1:G107"/>
  <sheetViews>
    <sheetView topLeftCell="A1" showGridLines="0" workbookViewId="0">
      <selection activeCell="A1" sqref="A1"/>
    </sheetView>
  </sheetViews>
  <sheetFormatPr customHeight="1" defaultRowHeight="11.25"/>
  <cols>
    <col min="1" max="1" style="5528" width="9.140625"/>
  </cols>
  <sheetData>
    <row customHeight="1" ht="11.25">
      <c r="A1" s="486" t="s">
        <v>3268</v>
      </c>
      <c r="B1" s="175" t="s">
        <v>3269</v>
      </c>
      <c r="C1" s="175" t="s">
        <v>3270</v>
      </c>
      <c r="D1" s="175" t="s">
        <v>3271</v>
      </c>
      <c r="E1" s="62" t="s">
        <v>3272</v>
      </c>
      <c r="F1" s="62" t="s">
        <v>3273</v>
      </c>
      <c r="G1" s="62" t="s">
        <v>3274</v>
      </c>
    </row>
    <row customHeight="1" ht="11.25">
      <c r="A2" s="486" t="s">
        <v>16</v>
      </c>
      <c r="B2" s="0" t="s">
        <v>137</v>
      </c>
      <c r="C2" s="0" t="s">
        <v>138</v>
      </c>
      <c r="D2" s="0" t="s">
        <v>137</v>
      </c>
      <c r="E2" s="0" t="s">
        <v>138</v>
      </c>
      <c r="F2" s="0" t="s">
        <v>3275</v>
      </c>
      <c r="G2" s="0" t="s">
        <v>136</v>
      </c>
    </row>
    <row customHeight="1" ht="11.25">
      <c r="A3" s="486" t="s">
        <v>16</v>
      </c>
      <c r="B3" s="0" t="s">
        <v>3276</v>
      </c>
      <c r="C3" s="0" t="s">
        <v>3277</v>
      </c>
      <c r="D3" s="0" t="s">
        <v>3276</v>
      </c>
      <c r="E3" s="0" t="s">
        <v>3277</v>
      </c>
      <c r="F3" s="0" t="s">
        <v>3278</v>
      </c>
      <c r="G3" s="0" t="s">
        <v>103</v>
      </c>
    </row>
    <row customHeight="1" ht="11.25">
      <c r="A4" s="486" t="s">
        <v>16</v>
      </c>
      <c r="B4" s="0" t="s">
        <v>3279</v>
      </c>
      <c r="C4" s="0" t="s">
        <v>3280</v>
      </c>
      <c r="D4" s="0" t="s">
        <v>3279</v>
      </c>
      <c r="E4" s="0" t="s">
        <v>3280</v>
      </c>
      <c r="F4" s="0" t="s">
        <v>3278</v>
      </c>
      <c r="G4" s="0" t="s">
        <v>90</v>
      </c>
    </row>
    <row customHeight="1" ht="11.25">
      <c r="A5" s="486" t="s">
        <v>16</v>
      </c>
      <c r="B5" s="0" t="s">
        <v>3281</v>
      </c>
      <c r="C5" s="0" t="s">
        <v>3282</v>
      </c>
      <c r="D5" s="0" t="s">
        <v>3281</v>
      </c>
      <c r="E5" s="0" t="s">
        <v>3282</v>
      </c>
      <c r="F5" s="0" t="s">
        <v>3278</v>
      </c>
      <c r="G5" s="0" t="s">
        <v>91</v>
      </c>
    </row>
    <row customHeight="1" ht="11.25">
      <c r="A6" s="486" t="s">
        <v>16</v>
      </c>
      <c r="B6" s="0" t="s">
        <v>127</v>
      </c>
      <c r="C6" s="0" t="s">
        <v>128</v>
      </c>
      <c r="D6" s="0" t="s">
        <v>127</v>
      </c>
      <c r="E6" s="0" t="s">
        <v>128</v>
      </c>
      <c r="F6" s="0" t="s">
        <v>3278</v>
      </c>
      <c r="G6" s="0" t="s">
        <v>116</v>
      </c>
    </row>
    <row customHeight="1" ht="11.25">
      <c r="A7" s="486" t="s">
        <v>16</v>
      </c>
      <c r="B7" s="0" t="s">
        <v>114</v>
      </c>
      <c r="C7" s="0" t="s">
        <v>115</v>
      </c>
      <c r="D7" s="0" t="s">
        <v>114</v>
      </c>
      <c r="E7" s="0" t="s">
        <v>115</v>
      </c>
      <c r="F7" s="0" t="s">
        <v>3278</v>
      </c>
      <c r="G7" s="0" t="s">
        <v>92</v>
      </c>
    </row>
    <row customHeight="1" ht="11.25">
      <c r="A8" s="486" t="s">
        <v>16</v>
      </c>
      <c r="B8" s="0" t="s">
        <v>3283</v>
      </c>
      <c r="C8" s="0" t="s">
        <v>3284</v>
      </c>
      <c r="D8" s="0" t="s">
        <v>3283</v>
      </c>
      <c r="E8" s="0" t="s">
        <v>3284</v>
      </c>
      <c r="F8" s="0" t="s">
        <v>3278</v>
      </c>
      <c r="G8" s="0" t="s">
        <v>93</v>
      </c>
    </row>
    <row customHeight="1" ht="11.25">
      <c r="A9" s="486" t="s">
        <v>16</v>
      </c>
      <c r="B9" s="0" t="s">
        <v>3285</v>
      </c>
      <c r="C9" s="0" t="s">
        <v>3286</v>
      </c>
      <c r="D9" s="0" t="s">
        <v>3287</v>
      </c>
      <c r="E9" s="0" t="s">
        <v>3288</v>
      </c>
      <c r="F9" s="0" t="s">
        <v>3289</v>
      </c>
      <c r="G9" s="0" t="s">
        <v>129</v>
      </c>
    </row>
    <row customHeight="1" ht="11.25">
      <c r="A10" s="486" t="s">
        <v>16</v>
      </c>
      <c r="B10" s="0" t="s">
        <v>3285</v>
      </c>
      <c r="C10" s="0" t="s">
        <v>3286</v>
      </c>
      <c r="D10" s="0" t="s">
        <v>3285</v>
      </c>
      <c r="E10" s="0" t="s">
        <v>3286</v>
      </c>
      <c r="F10" s="0" t="s">
        <v>3290</v>
      </c>
      <c r="G10" s="0" t="s">
        <v>134</v>
      </c>
    </row>
    <row customHeight="1" ht="11.25">
      <c r="A11" s="486" t="s">
        <v>16</v>
      </c>
      <c r="B11" s="0" t="s">
        <v>3285</v>
      </c>
      <c r="C11" s="0" t="s">
        <v>3286</v>
      </c>
      <c r="D11" s="0" t="s">
        <v>3291</v>
      </c>
      <c r="E11" s="0" t="s">
        <v>3292</v>
      </c>
      <c r="F11" s="0" t="s">
        <v>3289</v>
      </c>
      <c r="G11" s="0" t="s">
        <v>180</v>
      </c>
    </row>
    <row customHeight="1" ht="11.25">
      <c r="A12" s="486" t="s">
        <v>16</v>
      </c>
      <c r="B12" s="0" t="s">
        <v>3285</v>
      </c>
      <c r="C12" s="0" t="s">
        <v>3286</v>
      </c>
      <c r="D12" s="0" t="s">
        <v>3293</v>
      </c>
      <c r="E12" s="0" t="s">
        <v>3294</v>
      </c>
      <c r="F12" s="0" t="s">
        <v>3295</v>
      </c>
      <c r="G12" s="0" t="s">
        <v>181</v>
      </c>
    </row>
    <row customHeight="1" ht="11.25">
      <c r="A13" s="486" t="s">
        <v>16</v>
      </c>
      <c r="B13" s="0" t="s">
        <v>3285</v>
      </c>
      <c r="C13" s="0" t="s">
        <v>3286</v>
      </c>
      <c r="D13" s="0" t="s">
        <v>3296</v>
      </c>
      <c r="E13" s="0" t="s">
        <v>3297</v>
      </c>
      <c r="F13" s="0" t="s">
        <v>3289</v>
      </c>
      <c r="G13" s="0" t="s">
        <v>182</v>
      </c>
    </row>
    <row customHeight="1" ht="11.25">
      <c r="A14" s="486" t="s">
        <v>16</v>
      </c>
      <c r="B14" s="0" t="s">
        <v>3285</v>
      </c>
      <c r="C14" s="0" t="s">
        <v>3286</v>
      </c>
      <c r="D14" s="0" t="s">
        <v>3298</v>
      </c>
      <c r="E14" s="0" t="s">
        <v>3299</v>
      </c>
      <c r="F14" s="0" t="s">
        <v>3289</v>
      </c>
      <c r="G14" s="0" t="s">
        <v>183</v>
      </c>
    </row>
    <row customHeight="1" ht="11.25">
      <c r="A15" s="486" t="s">
        <v>16</v>
      </c>
      <c r="B15" s="0" t="s">
        <v>3285</v>
      </c>
      <c r="C15" s="0" t="s">
        <v>3286</v>
      </c>
      <c r="D15" s="0" t="s">
        <v>3300</v>
      </c>
      <c r="E15" s="0" t="s">
        <v>3301</v>
      </c>
      <c r="F15" s="0" t="s">
        <v>3289</v>
      </c>
      <c r="G15" s="0" t="s">
        <v>184</v>
      </c>
    </row>
    <row customHeight="1" ht="11.25">
      <c r="A16" s="486" t="s">
        <v>16</v>
      </c>
      <c r="B16" s="0" t="s">
        <v>3285</v>
      </c>
      <c r="C16" s="0" t="s">
        <v>3286</v>
      </c>
      <c r="D16" s="0" t="s">
        <v>3302</v>
      </c>
      <c r="E16" s="0" t="s">
        <v>3303</v>
      </c>
      <c r="F16" s="0" t="s">
        <v>3289</v>
      </c>
      <c r="G16" s="0" t="s">
        <v>1560</v>
      </c>
    </row>
    <row customHeight="1" ht="11.25">
      <c r="A17" s="486" t="s">
        <v>16</v>
      </c>
      <c r="B17" s="0" t="s">
        <v>111</v>
      </c>
      <c r="C17" s="0" t="s">
        <v>112</v>
      </c>
      <c r="D17" s="0" t="s">
        <v>111</v>
      </c>
      <c r="E17" s="0" t="s">
        <v>112</v>
      </c>
      <c r="F17" s="0" t="s">
        <v>3275</v>
      </c>
      <c r="G17" s="0" t="s">
        <v>110</v>
      </c>
    </row>
    <row customHeight="1" ht="11.25">
      <c r="A18" s="486" t="s">
        <v>16</v>
      </c>
      <c r="B18" s="0" t="s">
        <v>3304</v>
      </c>
      <c r="C18" s="0" t="s">
        <v>3305</v>
      </c>
      <c r="D18" s="0" t="s">
        <v>3306</v>
      </c>
      <c r="E18" s="0" t="s">
        <v>3307</v>
      </c>
      <c r="F18" s="0" t="s">
        <v>3289</v>
      </c>
      <c r="G18" s="0" t="s">
        <v>1577</v>
      </c>
    </row>
    <row customHeight="1" ht="11.25">
      <c r="A19" s="486" t="s">
        <v>16</v>
      </c>
      <c r="B19" s="0" t="s">
        <v>3304</v>
      </c>
      <c r="C19" s="0" t="s">
        <v>3305</v>
      </c>
      <c r="D19" s="0" t="s">
        <v>3308</v>
      </c>
      <c r="E19" s="0" t="s">
        <v>3309</v>
      </c>
      <c r="F19" s="0" t="s">
        <v>3310</v>
      </c>
      <c r="G19" s="0" t="s">
        <v>1591</v>
      </c>
    </row>
    <row customHeight="1" ht="11.25">
      <c r="A20" s="486" t="s">
        <v>16</v>
      </c>
      <c r="B20" s="0" t="s">
        <v>3304</v>
      </c>
      <c r="C20" s="0" t="s">
        <v>3305</v>
      </c>
      <c r="D20" s="0" t="s">
        <v>3304</v>
      </c>
      <c r="E20" s="0" t="s">
        <v>3305</v>
      </c>
      <c r="F20" s="0" t="s">
        <v>3290</v>
      </c>
      <c r="G20" s="0" t="s">
        <v>1603</v>
      </c>
    </row>
    <row customHeight="1" ht="11.25">
      <c r="A21" s="486" t="s">
        <v>16</v>
      </c>
      <c r="B21" s="0" t="s">
        <v>3304</v>
      </c>
      <c r="C21" s="0" t="s">
        <v>3305</v>
      </c>
      <c r="D21" s="0" t="s">
        <v>3311</v>
      </c>
      <c r="E21" s="0" t="s">
        <v>3312</v>
      </c>
      <c r="F21" s="0" t="s">
        <v>3310</v>
      </c>
      <c r="G21" s="0" t="s">
        <v>1612</v>
      </c>
    </row>
    <row customHeight="1" ht="11.25">
      <c r="A22" s="486" t="s">
        <v>16</v>
      </c>
      <c r="B22" s="0" t="s">
        <v>3304</v>
      </c>
      <c r="C22" s="0" t="s">
        <v>3305</v>
      </c>
      <c r="D22" s="0" t="s">
        <v>3313</v>
      </c>
      <c r="E22" s="0" t="s">
        <v>3314</v>
      </c>
      <c r="F22" s="0" t="s">
        <v>3289</v>
      </c>
      <c r="G22" s="0" t="s">
        <v>1628</v>
      </c>
    </row>
    <row customHeight="1" ht="11.25">
      <c r="A23" s="486" t="s">
        <v>16</v>
      </c>
      <c r="B23" s="0" t="s">
        <v>3304</v>
      </c>
      <c r="C23" s="0" t="s">
        <v>3305</v>
      </c>
      <c r="D23" s="0" t="s">
        <v>3315</v>
      </c>
      <c r="E23" s="0" t="s">
        <v>3316</v>
      </c>
      <c r="F23" s="0" t="s">
        <v>3295</v>
      </c>
      <c r="G23" s="0" t="s">
        <v>1635</v>
      </c>
    </row>
    <row customHeight="1" ht="11.25">
      <c r="A24" s="486" t="s">
        <v>16</v>
      </c>
      <c r="B24" s="0" t="s">
        <v>3304</v>
      </c>
      <c r="C24" s="0" t="s">
        <v>3305</v>
      </c>
      <c r="D24" s="0" t="s">
        <v>3317</v>
      </c>
      <c r="E24" s="0" t="s">
        <v>3318</v>
      </c>
      <c r="F24" s="0" t="s">
        <v>3289</v>
      </c>
      <c r="G24" s="0" t="s">
        <v>1643</v>
      </c>
    </row>
    <row customHeight="1" ht="11.25">
      <c r="A25" s="486" t="s">
        <v>16</v>
      </c>
      <c r="B25" s="0" t="s">
        <v>3304</v>
      </c>
      <c r="C25" s="0" t="s">
        <v>3305</v>
      </c>
      <c r="D25" s="0" t="s">
        <v>3319</v>
      </c>
      <c r="E25" s="0" t="s">
        <v>3320</v>
      </c>
      <c r="F25" s="0" t="s">
        <v>3289</v>
      </c>
      <c r="G25" s="0" t="s">
        <v>1650</v>
      </c>
    </row>
    <row customHeight="1" ht="11.25">
      <c r="A26" s="486" t="s">
        <v>16</v>
      </c>
      <c r="B26" s="0" t="s">
        <v>3321</v>
      </c>
      <c r="C26" s="0" t="s">
        <v>3322</v>
      </c>
      <c r="D26" s="0" t="s">
        <v>3321</v>
      </c>
      <c r="E26" s="0" t="s">
        <v>3322</v>
      </c>
      <c r="F26" s="0" t="s">
        <v>3275</v>
      </c>
      <c r="G26" s="0" t="s">
        <v>1654</v>
      </c>
    </row>
    <row customHeight="1" ht="11.25">
      <c r="A27" s="486" t="s">
        <v>16</v>
      </c>
      <c r="B27" s="0" t="s">
        <v>3323</v>
      </c>
      <c r="C27" s="0" t="s">
        <v>3324</v>
      </c>
      <c r="D27" s="0" t="s">
        <v>3325</v>
      </c>
      <c r="E27" s="0" t="s">
        <v>3326</v>
      </c>
      <c r="F27" s="0" t="s">
        <v>3310</v>
      </c>
      <c r="G27" s="0" t="s">
        <v>1659</v>
      </c>
    </row>
    <row customHeight="1" ht="11.25">
      <c r="A28" s="486" t="s">
        <v>16</v>
      </c>
      <c r="B28" s="0" t="s">
        <v>3323</v>
      </c>
      <c r="C28" s="0" t="s">
        <v>3324</v>
      </c>
      <c r="D28" s="0" t="s">
        <v>3327</v>
      </c>
      <c r="E28" s="0" t="s">
        <v>3328</v>
      </c>
      <c r="F28" s="0" t="s">
        <v>3289</v>
      </c>
      <c r="G28" s="0" t="s">
        <v>1667</v>
      </c>
    </row>
    <row customHeight="1" ht="11.25">
      <c r="A29" s="486" t="s">
        <v>16</v>
      </c>
      <c r="B29" s="0" t="s">
        <v>3323</v>
      </c>
      <c r="C29" s="0" t="s">
        <v>3324</v>
      </c>
      <c r="D29" s="0" t="s">
        <v>3329</v>
      </c>
      <c r="E29" s="0" t="s">
        <v>3330</v>
      </c>
      <c r="F29" s="0" t="s">
        <v>3289</v>
      </c>
      <c r="G29" s="0" t="s">
        <v>1669</v>
      </c>
    </row>
    <row customHeight="1" ht="11.25">
      <c r="A30" s="486" t="s">
        <v>16</v>
      </c>
      <c r="B30" s="0" t="s">
        <v>3323</v>
      </c>
      <c r="C30" s="0" t="s">
        <v>3324</v>
      </c>
      <c r="D30" s="0" t="s">
        <v>3331</v>
      </c>
      <c r="E30" s="0" t="s">
        <v>3332</v>
      </c>
      <c r="F30" s="0" t="s">
        <v>3289</v>
      </c>
      <c r="G30" s="0" t="s">
        <v>1672</v>
      </c>
    </row>
    <row customHeight="1" ht="11.25">
      <c r="A31" s="486" t="s">
        <v>16</v>
      </c>
      <c r="B31" s="0" t="s">
        <v>3323</v>
      </c>
      <c r="C31" s="0" t="s">
        <v>3324</v>
      </c>
      <c r="D31" s="0" t="s">
        <v>3333</v>
      </c>
      <c r="E31" s="0" t="s">
        <v>3334</v>
      </c>
      <c r="F31" s="0" t="s">
        <v>3289</v>
      </c>
      <c r="G31" s="0" t="s">
        <v>1678</v>
      </c>
    </row>
    <row customHeight="1" ht="11.25">
      <c r="A32" s="486" t="s">
        <v>16</v>
      </c>
      <c r="B32" s="0" t="s">
        <v>3323</v>
      </c>
      <c r="C32" s="0" t="s">
        <v>3324</v>
      </c>
      <c r="D32" s="0" t="s">
        <v>3323</v>
      </c>
      <c r="E32" s="0" t="s">
        <v>3324</v>
      </c>
      <c r="F32" s="0" t="s">
        <v>3290</v>
      </c>
      <c r="G32" s="0" t="s">
        <v>1680</v>
      </c>
    </row>
    <row customHeight="1" ht="11.25">
      <c r="A33" s="486" t="s">
        <v>16</v>
      </c>
      <c r="B33" s="0" t="s">
        <v>3323</v>
      </c>
      <c r="C33" s="0" t="s">
        <v>3324</v>
      </c>
      <c r="D33" s="0" t="s">
        <v>3335</v>
      </c>
      <c r="E33" s="0" t="s">
        <v>3336</v>
      </c>
      <c r="F33" s="0" t="s">
        <v>3289</v>
      </c>
      <c r="G33" s="0" t="s">
        <v>1682</v>
      </c>
    </row>
    <row customHeight="1" ht="11.25">
      <c r="A34" s="486" t="s">
        <v>16</v>
      </c>
      <c r="B34" s="0" t="s">
        <v>3323</v>
      </c>
      <c r="C34" s="0" t="s">
        <v>3324</v>
      </c>
      <c r="D34" s="0" t="s">
        <v>3337</v>
      </c>
      <c r="E34" s="0" t="s">
        <v>3338</v>
      </c>
      <c r="F34" s="0" t="s">
        <v>3289</v>
      </c>
      <c r="G34" s="0" t="s">
        <v>1684</v>
      </c>
    </row>
    <row customHeight="1" ht="11.25">
      <c r="A35" s="486" t="s">
        <v>16</v>
      </c>
      <c r="B35" s="0" t="s">
        <v>3323</v>
      </c>
      <c r="C35" s="0" t="s">
        <v>3324</v>
      </c>
      <c r="D35" s="0" t="s">
        <v>3339</v>
      </c>
      <c r="E35" s="0" t="s">
        <v>3340</v>
      </c>
      <c r="F35" s="0" t="s">
        <v>3289</v>
      </c>
      <c r="G35" s="0" t="s">
        <v>1689</v>
      </c>
    </row>
    <row customHeight="1" ht="11.25">
      <c r="A36" s="486" t="s">
        <v>16</v>
      </c>
      <c r="B36" s="0" t="s">
        <v>3323</v>
      </c>
      <c r="C36" s="0" t="s">
        <v>3324</v>
      </c>
      <c r="D36" s="0" t="s">
        <v>3341</v>
      </c>
      <c r="E36" s="0" t="s">
        <v>3342</v>
      </c>
      <c r="F36" s="0" t="s">
        <v>3289</v>
      </c>
      <c r="G36" s="0" t="s">
        <v>1694</v>
      </c>
    </row>
    <row customHeight="1" ht="11.25">
      <c r="A37" s="486" t="s">
        <v>16</v>
      </c>
      <c r="B37" s="0" t="s">
        <v>3323</v>
      </c>
      <c r="C37" s="0" t="s">
        <v>3324</v>
      </c>
      <c r="D37" s="0" t="s">
        <v>3343</v>
      </c>
      <c r="E37" s="0" t="s">
        <v>3344</v>
      </c>
      <c r="F37" s="0" t="s">
        <v>3289</v>
      </c>
      <c r="G37" s="0" t="s">
        <v>1698</v>
      </c>
    </row>
    <row customHeight="1" ht="11.25">
      <c r="A38" s="486" t="s">
        <v>16</v>
      </c>
      <c r="B38" s="0" t="s">
        <v>3345</v>
      </c>
      <c r="C38" s="0" t="s">
        <v>3346</v>
      </c>
      <c r="D38" s="0" t="s">
        <v>3345</v>
      </c>
      <c r="E38" s="0" t="s">
        <v>3346</v>
      </c>
      <c r="F38" s="0" t="s">
        <v>3275</v>
      </c>
      <c r="G38" s="0" t="s">
        <v>1706</v>
      </c>
    </row>
    <row customHeight="1" ht="11.25">
      <c r="A39" s="486" t="s">
        <v>16</v>
      </c>
      <c r="B39" s="0" t="s">
        <v>3347</v>
      </c>
      <c r="C39" s="0" t="s">
        <v>3348</v>
      </c>
      <c r="D39" s="0" t="s">
        <v>3347</v>
      </c>
      <c r="E39" s="0" t="s">
        <v>3348</v>
      </c>
      <c r="F39" s="0" t="s">
        <v>3278</v>
      </c>
      <c r="G39" s="0" t="s">
        <v>1712</v>
      </c>
    </row>
    <row customHeight="1" ht="11.25">
      <c r="A40" s="486" t="s">
        <v>16</v>
      </c>
      <c r="B40" s="0" t="s">
        <v>119</v>
      </c>
      <c r="C40" s="0" t="s">
        <v>3349</v>
      </c>
      <c r="D40" s="0" t="s">
        <v>3350</v>
      </c>
      <c r="E40" s="0" t="s">
        <v>3351</v>
      </c>
      <c r="F40" s="0" t="s">
        <v>3289</v>
      </c>
      <c r="G40" s="0" t="s">
        <v>1717</v>
      </c>
    </row>
    <row customHeight="1" ht="11.25">
      <c r="A41" s="486" t="s">
        <v>16</v>
      </c>
      <c r="B41" s="0" t="s">
        <v>119</v>
      </c>
      <c r="C41" s="0" t="s">
        <v>3349</v>
      </c>
      <c r="D41" s="0" t="s">
        <v>3352</v>
      </c>
      <c r="E41" s="0" t="s">
        <v>3353</v>
      </c>
      <c r="F41" s="0" t="s">
        <v>3289</v>
      </c>
      <c r="G41" s="0" t="s">
        <v>1721</v>
      </c>
    </row>
    <row customHeight="1" ht="11.25">
      <c r="A42" s="486" t="s">
        <v>16</v>
      </c>
      <c r="B42" s="0" t="s">
        <v>119</v>
      </c>
      <c r="C42" s="0" t="s">
        <v>3349</v>
      </c>
      <c r="D42" s="0" t="s">
        <v>3354</v>
      </c>
      <c r="E42" s="0" t="s">
        <v>3355</v>
      </c>
      <c r="F42" s="0" t="s">
        <v>3289</v>
      </c>
      <c r="G42" s="0" t="s">
        <v>1724</v>
      </c>
    </row>
    <row customHeight="1" ht="11.25">
      <c r="A43" s="486" t="s">
        <v>16</v>
      </c>
      <c r="B43" s="0" t="s">
        <v>119</v>
      </c>
      <c r="C43" s="0" t="s">
        <v>3349</v>
      </c>
      <c r="D43" s="0" t="s">
        <v>119</v>
      </c>
      <c r="E43" s="0" t="s">
        <v>3349</v>
      </c>
      <c r="F43" s="0" t="s">
        <v>3290</v>
      </c>
      <c r="G43" s="0" t="s">
        <v>1731</v>
      </c>
    </row>
    <row customHeight="1" ht="11.25">
      <c r="A44" s="486" t="s">
        <v>16</v>
      </c>
      <c r="B44" s="0" t="s">
        <v>119</v>
      </c>
      <c r="C44" s="0" t="s">
        <v>3349</v>
      </c>
      <c r="D44" s="0" t="s">
        <v>3356</v>
      </c>
      <c r="E44" s="0" t="s">
        <v>3357</v>
      </c>
      <c r="F44" s="0" t="s">
        <v>3289</v>
      </c>
      <c r="G44" s="0" t="s">
        <v>1740</v>
      </c>
    </row>
    <row customHeight="1" ht="11.25">
      <c r="A45" s="486" t="s">
        <v>16</v>
      </c>
      <c r="B45" s="0" t="s">
        <v>119</v>
      </c>
      <c r="C45" s="0" t="s">
        <v>3349</v>
      </c>
      <c r="D45" s="0" t="s">
        <v>120</v>
      </c>
      <c r="E45" s="0" t="s">
        <v>121</v>
      </c>
      <c r="F45" s="0" t="s">
        <v>3310</v>
      </c>
      <c r="G45" s="0" t="s">
        <v>118</v>
      </c>
    </row>
    <row customHeight="1" ht="11.25">
      <c r="A46" s="486" t="s">
        <v>16</v>
      </c>
      <c r="B46" s="0" t="s">
        <v>119</v>
      </c>
      <c r="C46" s="0" t="s">
        <v>3349</v>
      </c>
      <c r="D46" s="0" t="s">
        <v>3358</v>
      </c>
      <c r="E46" s="0" t="s">
        <v>3359</v>
      </c>
      <c r="F46" s="0" t="s">
        <v>3289</v>
      </c>
      <c r="G46" s="0" t="s">
        <v>1748</v>
      </c>
    </row>
    <row customHeight="1" ht="11.25">
      <c r="A47" s="486" t="s">
        <v>16</v>
      </c>
      <c r="B47" s="0" t="s">
        <v>119</v>
      </c>
      <c r="C47" s="0" t="s">
        <v>3349</v>
      </c>
      <c r="D47" s="0" t="s">
        <v>3360</v>
      </c>
      <c r="E47" s="0" t="s">
        <v>3361</v>
      </c>
      <c r="F47" s="0" t="s">
        <v>3289</v>
      </c>
      <c r="G47" s="0" t="s">
        <v>1754</v>
      </c>
    </row>
    <row customHeight="1" ht="11.25">
      <c r="A48" s="486" t="s">
        <v>16</v>
      </c>
      <c r="B48" s="0" t="s">
        <v>3362</v>
      </c>
      <c r="C48" s="0" t="s">
        <v>3363</v>
      </c>
      <c r="D48" s="0" t="s">
        <v>3362</v>
      </c>
      <c r="E48" s="0" t="s">
        <v>3363</v>
      </c>
      <c r="F48" s="0" t="s">
        <v>3290</v>
      </c>
      <c r="G48" s="0" t="s">
        <v>1758</v>
      </c>
    </row>
    <row customHeight="1" ht="11.25">
      <c r="A49" s="486" t="s">
        <v>16</v>
      </c>
      <c r="B49" s="0" t="s">
        <v>3362</v>
      </c>
      <c r="C49" s="0" t="s">
        <v>3363</v>
      </c>
      <c r="D49" s="0" t="s">
        <v>3364</v>
      </c>
      <c r="E49" s="0" t="s">
        <v>3365</v>
      </c>
      <c r="F49" s="0" t="s">
        <v>3289</v>
      </c>
      <c r="G49" s="0" t="s">
        <v>1761</v>
      </c>
    </row>
    <row customHeight="1" ht="11.25">
      <c r="A50" s="486" t="s">
        <v>16</v>
      </c>
      <c r="B50" s="0" t="s">
        <v>3362</v>
      </c>
      <c r="C50" s="0" t="s">
        <v>3363</v>
      </c>
      <c r="D50" s="0" t="s">
        <v>3366</v>
      </c>
      <c r="E50" s="0" t="s">
        <v>3367</v>
      </c>
      <c r="F50" s="0" t="s">
        <v>3289</v>
      </c>
      <c r="G50" s="0" t="s">
        <v>1764</v>
      </c>
    </row>
    <row customHeight="1" ht="11.25">
      <c r="A51" s="486" t="s">
        <v>16</v>
      </c>
      <c r="B51" s="0" t="s">
        <v>3362</v>
      </c>
      <c r="C51" s="0" t="s">
        <v>3363</v>
      </c>
      <c r="D51" s="0" t="s">
        <v>3368</v>
      </c>
      <c r="E51" s="0" t="s">
        <v>3369</v>
      </c>
      <c r="F51" s="0" t="s">
        <v>3289</v>
      </c>
      <c r="G51" s="0" t="s">
        <v>1769</v>
      </c>
    </row>
    <row customHeight="1" ht="11.25">
      <c r="A52" s="486" t="s">
        <v>16</v>
      </c>
      <c r="B52" s="0" t="s">
        <v>3370</v>
      </c>
      <c r="C52" s="0" t="s">
        <v>3371</v>
      </c>
      <c r="D52" s="0" t="s">
        <v>3370</v>
      </c>
      <c r="E52" s="0" t="s">
        <v>3371</v>
      </c>
      <c r="F52" s="0" t="s">
        <v>3278</v>
      </c>
      <c r="G52" s="0" t="s">
        <v>1773</v>
      </c>
    </row>
    <row customHeight="1" ht="11.25">
      <c r="A53" s="486" t="s">
        <v>16</v>
      </c>
      <c r="B53" s="0" t="s">
        <v>3372</v>
      </c>
      <c r="C53" s="0" t="s">
        <v>3373</v>
      </c>
      <c r="D53" s="0" t="s">
        <v>3372</v>
      </c>
      <c r="E53" s="0" t="s">
        <v>3373</v>
      </c>
      <c r="F53" s="0" t="s">
        <v>3275</v>
      </c>
      <c r="G53" s="0" t="s">
        <v>1775</v>
      </c>
    </row>
    <row customHeight="1" ht="11.25">
      <c r="A54" s="486" t="s">
        <v>16</v>
      </c>
      <c r="B54" s="0" t="s">
        <v>3374</v>
      </c>
      <c r="C54" s="0" t="s">
        <v>3375</v>
      </c>
      <c r="D54" s="0" t="s">
        <v>3374</v>
      </c>
      <c r="E54" s="0" t="s">
        <v>3375</v>
      </c>
      <c r="F54" s="0" t="s">
        <v>3275</v>
      </c>
      <c r="G54" s="0" t="s">
        <v>1778</v>
      </c>
    </row>
    <row customHeight="1" ht="11.25">
      <c r="A55" s="486" t="s">
        <v>16</v>
      </c>
      <c r="B55" s="0" t="s">
        <v>3376</v>
      </c>
      <c r="C55" s="0" t="s">
        <v>3377</v>
      </c>
      <c r="D55" s="0" t="s">
        <v>3376</v>
      </c>
      <c r="E55" s="0" t="s">
        <v>3377</v>
      </c>
      <c r="F55" s="0" t="s">
        <v>3278</v>
      </c>
      <c r="G55" s="0" t="s">
        <v>1783</v>
      </c>
    </row>
    <row customHeight="1" ht="11.25">
      <c r="A56" s="486" t="s">
        <v>16</v>
      </c>
      <c r="B56" s="0" t="s">
        <v>3378</v>
      </c>
      <c r="C56" s="0" t="s">
        <v>3379</v>
      </c>
      <c r="D56" s="0" t="s">
        <v>3378</v>
      </c>
      <c r="E56" s="0" t="s">
        <v>3379</v>
      </c>
      <c r="F56" s="0" t="s">
        <v>3275</v>
      </c>
      <c r="G56" s="0" t="s">
        <v>1786</v>
      </c>
    </row>
    <row customHeight="1" ht="11.25">
      <c r="A57" s="486" t="s">
        <v>16</v>
      </c>
      <c r="B57" s="0" t="s">
        <v>3380</v>
      </c>
      <c r="C57" s="0" t="s">
        <v>3381</v>
      </c>
      <c r="D57" s="0" t="s">
        <v>3382</v>
      </c>
      <c r="E57" s="0" t="s">
        <v>3383</v>
      </c>
      <c r="F57" s="0" t="s">
        <v>3289</v>
      </c>
      <c r="G57" s="0" t="s">
        <v>1789</v>
      </c>
    </row>
    <row customHeight="1" ht="11.25">
      <c r="A58" s="486" t="s">
        <v>16</v>
      </c>
      <c r="B58" s="0" t="s">
        <v>3380</v>
      </c>
      <c r="C58" s="0" t="s">
        <v>3381</v>
      </c>
      <c r="D58" s="0" t="s">
        <v>3384</v>
      </c>
      <c r="E58" s="0" t="s">
        <v>3385</v>
      </c>
      <c r="F58" s="0" t="s">
        <v>3289</v>
      </c>
      <c r="G58" s="0" t="s">
        <v>1792</v>
      </c>
    </row>
    <row customHeight="1" ht="11.25">
      <c r="A59" s="486" t="s">
        <v>16</v>
      </c>
      <c r="B59" s="0" t="s">
        <v>3380</v>
      </c>
      <c r="C59" s="0" t="s">
        <v>3381</v>
      </c>
      <c r="D59" s="0" t="s">
        <v>3386</v>
      </c>
      <c r="E59" s="0" t="s">
        <v>3387</v>
      </c>
      <c r="F59" s="0" t="s">
        <v>3289</v>
      </c>
      <c r="G59" s="0" t="s">
        <v>1796</v>
      </c>
    </row>
    <row customHeight="1" ht="11.25">
      <c r="A60" s="486" t="s">
        <v>16</v>
      </c>
      <c r="B60" s="0" t="s">
        <v>3380</v>
      </c>
      <c r="C60" s="0" t="s">
        <v>3381</v>
      </c>
      <c r="D60" s="0" t="s">
        <v>3388</v>
      </c>
      <c r="E60" s="0" t="s">
        <v>3389</v>
      </c>
      <c r="F60" s="0" t="s">
        <v>3295</v>
      </c>
      <c r="G60" s="0" t="s">
        <v>1799</v>
      </c>
    </row>
    <row customHeight="1" ht="11.25">
      <c r="A61" s="486" t="s">
        <v>16</v>
      </c>
      <c r="B61" s="0" t="s">
        <v>3380</v>
      </c>
      <c r="C61" s="0" t="s">
        <v>3381</v>
      </c>
      <c r="D61" s="0" t="s">
        <v>3390</v>
      </c>
      <c r="E61" s="0" t="s">
        <v>3391</v>
      </c>
      <c r="F61" s="0" t="s">
        <v>3289</v>
      </c>
      <c r="G61" s="0" t="s">
        <v>3392</v>
      </c>
    </row>
    <row customHeight="1" ht="11.25">
      <c r="A62" s="486" t="s">
        <v>16</v>
      </c>
      <c r="B62" s="0" t="s">
        <v>3380</v>
      </c>
      <c r="C62" s="0" t="s">
        <v>3381</v>
      </c>
      <c r="D62" s="0" t="s">
        <v>3393</v>
      </c>
      <c r="E62" s="0" t="s">
        <v>3394</v>
      </c>
      <c r="F62" s="0" t="s">
        <v>3289</v>
      </c>
      <c r="G62" s="0" t="s">
        <v>3395</v>
      </c>
    </row>
    <row customHeight="1" ht="11.25">
      <c r="A63" s="486" t="s">
        <v>16</v>
      </c>
      <c r="B63" s="0" t="s">
        <v>3380</v>
      </c>
      <c r="C63" s="0" t="s">
        <v>3381</v>
      </c>
      <c r="D63" s="0" t="s">
        <v>3380</v>
      </c>
      <c r="E63" s="0" t="s">
        <v>3381</v>
      </c>
      <c r="F63" s="0" t="s">
        <v>3290</v>
      </c>
      <c r="G63" s="0" t="s">
        <v>3396</v>
      </c>
    </row>
    <row customHeight="1" ht="11.25">
      <c r="A64" s="486" t="s">
        <v>16</v>
      </c>
      <c r="B64" s="0" t="s">
        <v>3380</v>
      </c>
      <c r="C64" s="0" t="s">
        <v>3381</v>
      </c>
      <c r="D64" s="0" t="s">
        <v>3397</v>
      </c>
      <c r="E64" s="0" t="s">
        <v>3398</v>
      </c>
      <c r="F64" s="0" t="s">
        <v>3289</v>
      </c>
      <c r="G64" s="0" t="s">
        <v>3399</v>
      </c>
    </row>
    <row customHeight="1" ht="11.25">
      <c r="A65" s="486" t="s">
        <v>16</v>
      </c>
      <c r="B65" s="0" t="s">
        <v>3400</v>
      </c>
      <c r="C65" s="0" t="s">
        <v>3401</v>
      </c>
      <c r="D65" s="0" t="s">
        <v>3400</v>
      </c>
      <c r="E65" s="0" t="s">
        <v>3401</v>
      </c>
      <c r="F65" s="0" t="s">
        <v>3275</v>
      </c>
      <c r="G65" s="0" t="s">
        <v>3402</v>
      </c>
    </row>
    <row customHeight="1" ht="11.25">
      <c r="A66" s="486" t="s">
        <v>16</v>
      </c>
      <c r="B66" s="0" t="s">
        <v>3403</v>
      </c>
      <c r="C66" s="0" t="s">
        <v>3404</v>
      </c>
      <c r="D66" s="0" t="s">
        <v>3403</v>
      </c>
      <c r="E66" s="0" t="s">
        <v>3404</v>
      </c>
      <c r="F66" s="0" t="s">
        <v>3275</v>
      </c>
      <c r="G66" s="0" t="s">
        <v>3405</v>
      </c>
    </row>
    <row customHeight="1" ht="11.25">
      <c r="A67" s="486" t="s">
        <v>16</v>
      </c>
      <c r="B67" s="0" t="s">
        <v>3406</v>
      </c>
      <c r="C67" s="0" t="s">
        <v>3407</v>
      </c>
      <c r="D67" s="0" t="s">
        <v>3408</v>
      </c>
      <c r="E67" s="0" t="s">
        <v>3409</v>
      </c>
      <c r="F67" s="0" t="s">
        <v>3289</v>
      </c>
      <c r="G67" s="0" t="s">
        <v>2118</v>
      </c>
    </row>
    <row customHeight="1" ht="11.25">
      <c r="A68" s="486" t="s">
        <v>16</v>
      </c>
      <c r="B68" s="0" t="s">
        <v>3406</v>
      </c>
      <c r="C68" s="0" t="s">
        <v>3407</v>
      </c>
      <c r="D68" s="0" t="s">
        <v>3410</v>
      </c>
      <c r="E68" s="0" t="s">
        <v>3411</v>
      </c>
      <c r="F68" s="0" t="s">
        <v>3289</v>
      </c>
      <c r="G68" s="0" t="s">
        <v>3412</v>
      </c>
    </row>
    <row customHeight="1" ht="11.25">
      <c r="A69" s="486" t="s">
        <v>16</v>
      </c>
      <c r="B69" s="0" t="s">
        <v>3406</v>
      </c>
      <c r="C69" s="0" t="s">
        <v>3407</v>
      </c>
      <c r="D69" s="0" t="s">
        <v>3413</v>
      </c>
      <c r="E69" s="0" t="s">
        <v>3414</v>
      </c>
      <c r="F69" s="0" t="s">
        <v>3289</v>
      </c>
      <c r="G69" s="0" t="s">
        <v>2321</v>
      </c>
    </row>
    <row customHeight="1" ht="11.25">
      <c r="A70" s="486" t="s">
        <v>16</v>
      </c>
      <c r="B70" s="0" t="s">
        <v>3406</v>
      </c>
      <c r="C70" s="0" t="s">
        <v>3407</v>
      </c>
      <c r="D70" s="0" t="s">
        <v>3415</v>
      </c>
      <c r="E70" s="0" t="s">
        <v>3416</v>
      </c>
      <c r="F70" s="0" t="s">
        <v>3289</v>
      </c>
      <c r="G70" s="0" t="s">
        <v>3417</v>
      </c>
    </row>
    <row customHeight="1" ht="11.25">
      <c r="A71" s="486" t="s">
        <v>16</v>
      </c>
      <c r="B71" s="0" t="s">
        <v>3406</v>
      </c>
      <c r="C71" s="0" t="s">
        <v>3407</v>
      </c>
      <c r="D71" s="0" t="s">
        <v>3418</v>
      </c>
      <c r="E71" s="0" t="s">
        <v>3419</v>
      </c>
      <c r="F71" s="0" t="s">
        <v>3289</v>
      </c>
      <c r="G71" s="0" t="s">
        <v>3420</v>
      </c>
    </row>
    <row customHeight="1" ht="11.25">
      <c r="A72" s="486" t="s">
        <v>16</v>
      </c>
      <c r="B72" s="0" t="s">
        <v>3406</v>
      </c>
      <c r="C72" s="0" t="s">
        <v>3407</v>
      </c>
      <c r="D72" s="0" t="s">
        <v>3406</v>
      </c>
      <c r="E72" s="0" t="s">
        <v>3407</v>
      </c>
      <c r="F72" s="0" t="s">
        <v>3290</v>
      </c>
      <c r="G72" s="0" t="s">
        <v>3421</v>
      </c>
    </row>
    <row customHeight="1" ht="11.25">
      <c r="A73" s="486" t="s">
        <v>16</v>
      </c>
      <c r="B73" s="0" t="s">
        <v>3406</v>
      </c>
      <c r="C73" s="0" t="s">
        <v>3407</v>
      </c>
      <c r="D73" s="0" t="s">
        <v>3422</v>
      </c>
      <c r="E73" s="0" t="s">
        <v>3423</v>
      </c>
      <c r="F73" s="0" t="s">
        <v>3289</v>
      </c>
      <c r="G73" s="0" t="s">
        <v>3424</v>
      </c>
    </row>
    <row customHeight="1" ht="11.25">
      <c r="A74" s="486" t="s">
        <v>16</v>
      </c>
      <c r="B74" s="0" t="s">
        <v>3406</v>
      </c>
      <c r="C74" s="0" t="s">
        <v>3407</v>
      </c>
      <c r="D74" s="0" t="s">
        <v>3425</v>
      </c>
      <c r="E74" s="0" t="s">
        <v>3426</v>
      </c>
      <c r="F74" s="0" t="s">
        <v>3289</v>
      </c>
      <c r="G74" s="0" t="s">
        <v>3427</v>
      </c>
    </row>
    <row customHeight="1" ht="11.25">
      <c r="A75" s="486" t="s">
        <v>16</v>
      </c>
      <c r="B75" s="0" t="s">
        <v>3406</v>
      </c>
      <c r="C75" s="0" t="s">
        <v>3407</v>
      </c>
      <c r="D75" s="0" t="s">
        <v>3428</v>
      </c>
      <c r="E75" s="0" t="s">
        <v>3429</v>
      </c>
      <c r="F75" s="0" t="s">
        <v>3289</v>
      </c>
      <c r="G75" s="0" t="s">
        <v>3430</v>
      </c>
    </row>
    <row customHeight="1" ht="11.25">
      <c r="A76" s="486" t="s">
        <v>16</v>
      </c>
      <c r="B76" s="0" t="s">
        <v>3431</v>
      </c>
      <c r="C76" s="0" t="s">
        <v>3432</v>
      </c>
      <c r="D76" s="0" t="s">
        <v>3431</v>
      </c>
      <c r="E76" s="0" t="s">
        <v>3432</v>
      </c>
      <c r="F76" s="0" t="s">
        <v>3275</v>
      </c>
      <c r="G76" s="0" t="s">
        <v>3433</v>
      </c>
    </row>
    <row customHeight="1" ht="11.25">
      <c r="A77" s="486" t="s">
        <v>16</v>
      </c>
      <c r="B77" s="0" t="s">
        <v>3434</v>
      </c>
      <c r="C77" s="0" t="s">
        <v>3435</v>
      </c>
      <c r="D77" s="0" t="s">
        <v>3434</v>
      </c>
      <c r="E77" s="0" t="s">
        <v>3435</v>
      </c>
      <c r="F77" s="0" t="s">
        <v>3278</v>
      </c>
      <c r="G77" s="0" t="s">
        <v>3436</v>
      </c>
    </row>
    <row customHeight="1" ht="11.25">
      <c r="A78" s="486" t="s">
        <v>16</v>
      </c>
      <c r="B78" s="0" t="s">
        <v>3437</v>
      </c>
      <c r="C78" s="0" t="s">
        <v>3438</v>
      </c>
      <c r="D78" s="0" t="s">
        <v>3437</v>
      </c>
      <c r="E78" s="0" t="s">
        <v>3438</v>
      </c>
      <c r="F78" s="0" t="s">
        <v>3275</v>
      </c>
      <c r="G78" s="0" t="s">
        <v>3439</v>
      </c>
    </row>
    <row customHeight="1" ht="11.25">
      <c r="A79" s="486" t="s">
        <v>16</v>
      </c>
      <c r="B79" s="0" t="s">
        <v>100</v>
      </c>
      <c r="C79" s="0" t="s">
        <v>101</v>
      </c>
      <c r="D79" s="0" t="s">
        <v>100</v>
      </c>
      <c r="E79" s="0" t="s">
        <v>101</v>
      </c>
      <c r="F79" s="0" t="s">
        <v>3275</v>
      </c>
      <c r="G79" s="0" t="s">
        <v>99</v>
      </c>
    </row>
    <row customHeight="1" ht="11.25">
      <c r="A80" s="486" t="s">
        <v>16</v>
      </c>
      <c r="B80" s="0" t="s">
        <v>3440</v>
      </c>
      <c r="C80" s="0" t="s">
        <v>3441</v>
      </c>
      <c r="D80" s="0" t="s">
        <v>3440</v>
      </c>
      <c r="E80" s="0" t="s">
        <v>3441</v>
      </c>
      <c r="F80" s="0" t="s">
        <v>3275</v>
      </c>
      <c r="G80" s="0" t="s">
        <v>3442</v>
      </c>
    </row>
    <row customHeight="1" ht="11.25">
      <c r="A81" s="486" t="s">
        <v>16</v>
      </c>
      <c r="B81" s="0" t="s">
        <v>132</v>
      </c>
      <c r="C81" s="0" t="s">
        <v>133</v>
      </c>
      <c r="D81" s="0" t="s">
        <v>132</v>
      </c>
      <c r="E81" s="0" t="s">
        <v>133</v>
      </c>
      <c r="F81" s="0" t="s">
        <v>3275</v>
      </c>
      <c r="G81" s="0" t="s">
        <v>131</v>
      </c>
    </row>
    <row customHeight="1" ht="11.25">
      <c r="A82" s="486" t="s">
        <v>16</v>
      </c>
      <c r="B82" s="0" t="s">
        <v>3443</v>
      </c>
      <c r="C82" s="0" t="s">
        <v>3444</v>
      </c>
      <c r="D82" s="0" t="s">
        <v>3445</v>
      </c>
      <c r="E82" s="0" t="s">
        <v>3446</v>
      </c>
      <c r="F82" s="0" t="s">
        <v>3289</v>
      </c>
      <c r="G82" s="0" t="s">
        <v>3447</v>
      </c>
    </row>
    <row customHeight="1" ht="11.25">
      <c r="A83" s="486" t="s">
        <v>16</v>
      </c>
      <c r="B83" s="0" t="s">
        <v>3443</v>
      </c>
      <c r="C83" s="0" t="s">
        <v>3444</v>
      </c>
      <c r="D83" s="0" t="s">
        <v>3448</v>
      </c>
      <c r="E83" s="0" t="s">
        <v>3449</v>
      </c>
      <c r="F83" s="0" t="s">
        <v>3295</v>
      </c>
      <c r="G83" s="0" t="s">
        <v>3450</v>
      </c>
    </row>
    <row customHeight="1" ht="11.25">
      <c r="A84" s="486" t="s">
        <v>16</v>
      </c>
      <c r="B84" s="0" t="s">
        <v>3443</v>
      </c>
      <c r="C84" s="0" t="s">
        <v>3444</v>
      </c>
      <c r="D84" s="0" t="s">
        <v>3451</v>
      </c>
      <c r="E84" s="0" t="s">
        <v>3452</v>
      </c>
      <c r="F84" s="0" t="s">
        <v>3289</v>
      </c>
      <c r="G84" s="0" t="s">
        <v>3453</v>
      </c>
    </row>
    <row customHeight="1" ht="11.25">
      <c r="A85" s="486" t="s">
        <v>16</v>
      </c>
      <c r="B85" s="0" t="s">
        <v>3443</v>
      </c>
      <c r="C85" s="0" t="s">
        <v>3444</v>
      </c>
      <c r="D85" s="0" t="s">
        <v>3454</v>
      </c>
      <c r="E85" s="0" t="s">
        <v>3455</v>
      </c>
      <c r="F85" s="0" t="s">
        <v>3310</v>
      </c>
      <c r="G85" s="0" t="s">
        <v>3456</v>
      </c>
    </row>
    <row customHeight="1" ht="11.25">
      <c r="A86" s="486" t="s">
        <v>16</v>
      </c>
      <c r="B86" s="0" t="s">
        <v>3443</v>
      </c>
      <c r="C86" s="0" t="s">
        <v>3444</v>
      </c>
      <c r="D86" s="0" t="s">
        <v>3457</v>
      </c>
      <c r="E86" s="0" t="s">
        <v>3458</v>
      </c>
      <c r="F86" s="0" t="s">
        <v>3289</v>
      </c>
      <c r="G86" s="0" t="s">
        <v>3459</v>
      </c>
    </row>
    <row customHeight="1" ht="11.25">
      <c r="A87" s="486" t="s">
        <v>16</v>
      </c>
      <c r="B87" s="0" t="s">
        <v>3443</v>
      </c>
      <c r="C87" s="0" t="s">
        <v>3444</v>
      </c>
      <c r="D87" s="0" t="s">
        <v>3443</v>
      </c>
      <c r="E87" s="0" t="s">
        <v>3444</v>
      </c>
      <c r="F87" s="0" t="s">
        <v>3290</v>
      </c>
      <c r="G87" s="0" t="s">
        <v>3460</v>
      </c>
    </row>
    <row customHeight="1" ht="11.25">
      <c r="A88" s="486" t="s">
        <v>16</v>
      </c>
      <c r="B88" s="0" t="s">
        <v>3443</v>
      </c>
      <c r="C88" s="0" t="s">
        <v>3444</v>
      </c>
      <c r="D88" s="0" t="s">
        <v>3461</v>
      </c>
      <c r="E88" s="0" t="s">
        <v>3462</v>
      </c>
      <c r="F88" s="0" t="s">
        <v>3289</v>
      </c>
      <c r="G88" s="0" t="s">
        <v>3463</v>
      </c>
    </row>
    <row customHeight="1" ht="11.25">
      <c r="A89" s="486" t="s">
        <v>16</v>
      </c>
      <c r="B89" s="0" t="s">
        <v>3464</v>
      </c>
      <c r="C89" s="0" t="s">
        <v>3465</v>
      </c>
      <c r="D89" s="0" t="s">
        <v>3464</v>
      </c>
      <c r="E89" s="0" t="s">
        <v>3465</v>
      </c>
      <c r="F89" s="0" t="s">
        <v>3275</v>
      </c>
      <c r="G89" s="0" t="s">
        <v>3466</v>
      </c>
    </row>
    <row customHeight="1" ht="11.25">
      <c r="A90" s="486" t="s">
        <v>16</v>
      </c>
      <c r="B90" s="0" t="s">
        <v>107</v>
      </c>
      <c r="C90" s="0" t="s">
        <v>108</v>
      </c>
      <c r="D90" s="0" t="s">
        <v>107</v>
      </c>
      <c r="E90" s="0" t="s">
        <v>108</v>
      </c>
      <c r="F90" s="0" t="s">
        <v>3275</v>
      </c>
      <c r="G90" s="0" t="s">
        <v>106</v>
      </c>
    </row>
    <row customHeight="1" ht="11.25">
      <c r="A91" s="486" t="s">
        <v>16</v>
      </c>
      <c r="B91" s="0" t="s">
        <v>3467</v>
      </c>
      <c r="C91" s="0" t="s">
        <v>3468</v>
      </c>
      <c r="D91" s="0" t="s">
        <v>3469</v>
      </c>
      <c r="E91" s="0" t="s">
        <v>3470</v>
      </c>
      <c r="F91" s="0" t="s">
        <v>3289</v>
      </c>
      <c r="G91" s="0" t="s">
        <v>3471</v>
      </c>
    </row>
    <row customHeight="1" ht="11.25">
      <c r="A92" s="486" t="s">
        <v>16</v>
      </c>
      <c r="B92" s="0" t="s">
        <v>3467</v>
      </c>
      <c r="C92" s="0" t="s">
        <v>3468</v>
      </c>
      <c r="D92" s="0" t="s">
        <v>3472</v>
      </c>
      <c r="E92" s="0" t="s">
        <v>3473</v>
      </c>
      <c r="F92" s="0" t="s">
        <v>3289</v>
      </c>
      <c r="G92" s="0" t="s">
        <v>3474</v>
      </c>
    </row>
    <row customHeight="1" ht="11.25">
      <c r="A93" s="486" t="s">
        <v>16</v>
      </c>
      <c r="B93" s="0" t="s">
        <v>3467</v>
      </c>
      <c r="C93" s="0" t="s">
        <v>3468</v>
      </c>
      <c r="D93" s="0" t="s">
        <v>3475</v>
      </c>
      <c r="E93" s="0" t="s">
        <v>3476</v>
      </c>
      <c r="F93" s="0" t="s">
        <v>3289</v>
      </c>
      <c r="G93" s="0" t="s">
        <v>3477</v>
      </c>
    </row>
    <row customHeight="1" ht="11.25">
      <c r="A94" s="486" t="s">
        <v>16</v>
      </c>
      <c r="B94" s="0" t="s">
        <v>3467</v>
      </c>
      <c r="C94" s="0" t="s">
        <v>3468</v>
      </c>
      <c r="D94" s="0" t="s">
        <v>3478</v>
      </c>
      <c r="E94" s="0" t="s">
        <v>3479</v>
      </c>
      <c r="F94" s="0" t="s">
        <v>3310</v>
      </c>
      <c r="G94" s="0" t="s">
        <v>3480</v>
      </c>
    </row>
    <row customHeight="1" ht="11.25">
      <c r="A95" s="486" t="s">
        <v>16</v>
      </c>
      <c r="B95" s="0" t="s">
        <v>3467</v>
      </c>
      <c r="C95" s="0" t="s">
        <v>3468</v>
      </c>
      <c r="D95" s="0" t="s">
        <v>3481</v>
      </c>
      <c r="E95" s="0" t="s">
        <v>3482</v>
      </c>
      <c r="F95" s="0" t="s">
        <v>3289</v>
      </c>
      <c r="G95" s="0" t="s">
        <v>3483</v>
      </c>
    </row>
    <row customHeight="1" ht="11.25">
      <c r="A96" s="486" t="s">
        <v>16</v>
      </c>
      <c r="B96" s="0" t="s">
        <v>3467</v>
      </c>
      <c r="C96" s="0" t="s">
        <v>3468</v>
      </c>
      <c r="D96" s="0" t="s">
        <v>3467</v>
      </c>
      <c r="E96" s="0" t="s">
        <v>3468</v>
      </c>
      <c r="F96" s="0" t="s">
        <v>3290</v>
      </c>
      <c r="G96" s="0" t="s">
        <v>3484</v>
      </c>
    </row>
    <row customHeight="1" ht="11.25">
      <c r="A97" s="486" t="s">
        <v>16</v>
      </c>
      <c r="B97" s="0" t="s">
        <v>3467</v>
      </c>
      <c r="C97" s="0" t="s">
        <v>3468</v>
      </c>
      <c r="D97" s="0" t="s">
        <v>3485</v>
      </c>
      <c r="E97" s="0" t="s">
        <v>3486</v>
      </c>
      <c r="F97" s="0" t="s">
        <v>3310</v>
      </c>
      <c r="G97" s="0" t="s">
        <v>3487</v>
      </c>
    </row>
    <row customHeight="1" ht="11.25">
      <c r="A98" s="486" t="s">
        <v>16</v>
      </c>
      <c r="B98" s="0" t="s">
        <v>3467</v>
      </c>
      <c r="C98" s="0" t="s">
        <v>3468</v>
      </c>
      <c r="D98" s="0" t="s">
        <v>3488</v>
      </c>
      <c r="E98" s="0" t="s">
        <v>3489</v>
      </c>
      <c r="F98" s="0" t="s">
        <v>3289</v>
      </c>
      <c r="G98" s="0" t="s">
        <v>3490</v>
      </c>
    </row>
    <row customHeight="1" ht="11.25">
      <c r="A99" s="486" t="s">
        <v>16</v>
      </c>
      <c r="B99" s="0" t="s">
        <v>3491</v>
      </c>
      <c r="C99" s="0" t="s">
        <v>3492</v>
      </c>
      <c r="D99" s="0" t="s">
        <v>3491</v>
      </c>
      <c r="E99" s="0" t="s">
        <v>3492</v>
      </c>
      <c r="F99" s="0" t="s">
        <v>3275</v>
      </c>
      <c r="G99" s="0" t="s">
        <v>3493</v>
      </c>
    </row>
    <row customHeight="1" ht="11.25">
      <c r="A100" s="486" t="s">
        <v>16</v>
      </c>
      <c r="B100" s="0" t="s">
        <v>3494</v>
      </c>
      <c r="C100" s="0" t="s">
        <v>3495</v>
      </c>
      <c r="D100" s="0" t="s">
        <v>3496</v>
      </c>
      <c r="E100" s="0" t="s">
        <v>3497</v>
      </c>
      <c r="F100" s="0" t="s">
        <v>3289</v>
      </c>
      <c r="G100" s="0" t="s">
        <v>3498</v>
      </c>
    </row>
    <row customHeight="1" ht="11.25">
      <c r="A101" s="486" t="s">
        <v>16</v>
      </c>
      <c r="B101" s="0" t="s">
        <v>3494</v>
      </c>
      <c r="C101" s="0" t="s">
        <v>3495</v>
      </c>
      <c r="D101" s="0" t="s">
        <v>3499</v>
      </c>
      <c r="E101" s="0" t="s">
        <v>3500</v>
      </c>
      <c r="F101" s="0" t="s">
        <v>3289</v>
      </c>
      <c r="G101" s="0" t="s">
        <v>3501</v>
      </c>
    </row>
    <row customHeight="1" ht="11.25">
      <c r="A102" s="486" t="s">
        <v>16</v>
      </c>
      <c r="B102" s="0" t="s">
        <v>3494</v>
      </c>
      <c r="C102" s="0" t="s">
        <v>3495</v>
      </c>
      <c r="D102" s="0" t="s">
        <v>3502</v>
      </c>
      <c r="E102" s="0" t="s">
        <v>3503</v>
      </c>
      <c r="F102" s="0" t="s">
        <v>3289</v>
      </c>
      <c r="G102" s="0" t="s">
        <v>3504</v>
      </c>
    </row>
    <row customHeight="1" ht="11.25">
      <c r="A103" s="486" t="s">
        <v>16</v>
      </c>
      <c r="B103" s="0" t="s">
        <v>3494</v>
      </c>
      <c r="C103" s="0" t="s">
        <v>3495</v>
      </c>
      <c r="D103" s="0" t="s">
        <v>3505</v>
      </c>
      <c r="E103" s="0" t="s">
        <v>3506</v>
      </c>
      <c r="F103" s="0" t="s">
        <v>3289</v>
      </c>
      <c r="G103" s="0" t="s">
        <v>3507</v>
      </c>
    </row>
    <row customHeight="1" ht="11.25">
      <c r="A104" s="486" t="s">
        <v>16</v>
      </c>
      <c r="B104" s="0" t="s">
        <v>3494</v>
      </c>
      <c r="C104" s="0" t="s">
        <v>3495</v>
      </c>
      <c r="D104" s="0" t="s">
        <v>3494</v>
      </c>
      <c r="E104" s="0" t="s">
        <v>3495</v>
      </c>
      <c r="F104" s="0" t="s">
        <v>3290</v>
      </c>
      <c r="G104" s="0" t="s">
        <v>3508</v>
      </c>
    </row>
    <row customHeight="1" ht="11.25">
      <c r="A105" s="486" t="s">
        <v>16</v>
      </c>
      <c r="B105" s="0" t="s">
        <v>3494</v>
      </c>
      <c r="C105" s="0" t="s">
        <v>3495</v>
      </c>
      <c r="D105" s="0" t="s">
        <v>3509</v>
      </c>
      <c r="E105" s="0" t="s">
        <v>3510</v>
      </c>
      <c r="F105" s="0" t="s">
        <v>3289</v>
      </c>
      <c r="G105" s="0" t="s">
        <v>3511</v>
      </c>
    </row>
    <row customHeight="1" ht="11.25">
      <c r="A106" s="486" t="s">
        <v>16</v>
      </c>
      <c r="B106" s="0" t="s">
        <v>3512</v>
      </c>
      <c r="C106" s="0" t="s">
        <v>3513</v>
      </c>
      <c r="D106" s="0" t="s">
        <v>3512</v>
      </c>
      <c r="E106" s="0" t="s">
        <v>3513</v>
      </c>
      <c r="F106" s="0" t="s">
        <v>3278</v>
      </c>
      <c r="G106" s="0" t="s">
        <v>3514</v>
      </c>
    </row>
    <row customHeight="1" ht="11.25">
      <c r="A107" s="486" t="s">
        <v>16</v>
      </c>
      <c r="B107" s="0" t="s">
        <v>124</v>
      </c>
      <c r="C107" s="0" t="s">
        <v>125</v>
      </c>
      <c r="D107" s="0" t="s">
        <v>124</v>
      </c>
      <c r="E107" s="0" t="s">
        <v>125</v>
      </c>
      <c r="F107" s="0" t="s">
        <v>3278</v>
      </c>
      <c r="G107" s="0" t="s">
        <v>123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37B27-EA46-C5D3-99C7-6E921A895A9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358" width="13.8515625" customWidth="1"/>
    <col min="2" max="2" style="10358" width="10.421875" customWidth="1"/>
    <col min="3" max="3" style="10358" width="7.57421875" customWidth="1"/>
    <col min="4" max="4" style="10358" width="13.8515625" customWidth="1"/>
    <col min="5" max="5" style="10358" width="11.57421875" customWidth="1"/>
    <col min="6" max="6" style="10358" width="16.28125" customWidth="1"/>
    <col min="7" max="7" style="10358" width="16.00390625" customWidth="1"/>
    <col min="8" max="9" style="10358" width="16.140625" customWidth="1"/>
  </cols>
  <sheetData>
    <row customHeight="1" ht="11.25">
      <c r="A1" s="948" t="s">
        <v>3515</v>
      </c>
      <c r="B1" s="948" t="s">
        <v>3516</v>
      </c>
      <c r="C1" s="1272" t="s">
        <v>3517</v>
      </c>
      <c r="D1" s="948" t="s">
        <v>3518</v>
      </c>
      <c r="E1" s="948" t="s">
        <v>3519</v>
      </c>
      <c r="F1" s="1272" t="s">
        <v>3520</v>
      </c>
      <c r="G1" s="1272" t="s">
        <v>3521</v>
      </c>
      <c r="H1" s="1272" t="s">
        <v>3522</v>
      </c>
      <c r="I1" s="1272" t="s">
        <v>3523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E5D37-1F1C-6903-CB5D-963944C4DAC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1BA94-20B4-2016-A7D5-B5E08701FB7B}" mc:Ignorable="x14ac xr xr2 xr3">
  <sheetPr>
    <tabColor rgb="FFFFCC99"/>
  </sheetPr>
  <dimension ref="A1:B10"/>
  <sheetViews>
    <sheetView topLeftCell="A1" showGridLines="0" workbookViewId="0">
      <selection activeCell="A1" sqref="A1"/>
    </sheetView>
  </sheetViews>
  <sheetFormatPr defaultColWidth="9.140625" customHeight="1" defaultRowHeight="11.25"/>
  <cols>
    <col min="1" max="2" style="10361" width="9.140625"/>
  </cols>
  <sheetData>
    <row customHeight="1" ht="11.25">
      <c r="A1" s="296" t="s">
        <v>162</v>
      </c>
      <c r="B1" s="296" t="s">
        <v>3524</v>
      </c>
    </row>
    <row customHeight="1" ht="11.25">
      <c r="A2" s="10360" t="s">
        <v>98</v>
      </c>
      <c r="B2" s="10360" t="s">
        <v>3525</v>
      </c>
    </row>
    <row customHeight="1" ht="11.25">
      <c r="A3" s="10360" t="s">
        <v>105</v>
      </c>
      <c r="B3" s="10360" t="s">
        <v>3526</v>
      </c>
    </row>
    <row customHeight="1" ht="11.25">
      <c r="A4" s="10360" t="s">
        <v>109</v>
      </c>
      <c r="B4" s="10360" t="s">
        <v>3527</v>
      </c>
    </row>
    <row customHeight="1" ht="11.25">
      <c r="A5" s="10360" t="s">
        <v>113</v>
      </c>
      <c r="B5" s="10360" t="s">
        <v>3528</v>
      </c>
    </row>
    <row customHeight="1" ht="11.25">
      <c r="A6" s="10360" t="s">
        <v>117</v>
      </c>
      <c r="B6" s="10360" t="s">
        <v>3529</v>
      </c>
    </row>
    <row customHeight="1" ht="11.25">
      <c r="A7" s="10360" t="s">
        <v>122</v>
      </c>
      <c r="B7" s="10360" t="s">
        <v>3530</v>
      </c>
    </row>
    <row customHeight="1" ht="11.25">
      <c r="A8" s="10360" t="s">
        <v>126</v>
      </c>
      <c r="B8" s="10360" t="s">
        <v>3531</v>
      </c>
    </row>
    <row customHeight="1" ht="11.25">
      <c r="A9" s="10360" t="s">
        <v>130</v>
      </c>
      <c r="B9" s="10360" t="s">
        <v>3532</v>
      </c>
    </row>
    <row customHeight="1" ht="11.25">
      <c r="A10" s="10360" t="s">
        <v>135</v>
      </c>
      <c r="B10" s="10360" t="s">
        <v>3533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4FE11-3AC5-5D0B-4399-2B9AC0AAEFB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358" width="9.140625"/>
    <col min="2" max="2" style="10358" width="65.28125" customWidth="1"/>
  </cols>
  <sheetData>
    <row customHeight="1" ht="11.25">
      <c r="A1" s="948" t="s">
        <v>3534</v>
      </c>
      <c r="B1" s="948" t="s">
        <v>3535</v>
      </c>
    </row>
    <row customHeight="1" ht="11.25">
      <c r="A2" s="948">
        <v>4213775</v>
      </c>
      <c r="B2" s="948" t="s">
        <v>1318</v>
      </c>
    </row>
    <row customHeight="1" ht="11.25">
      <c r="A3" s="948">
        <v>4213784</v>
      </c>
      <c r="B3" s="948" t="s">
        <v>1351</v>
      </c>
    </row>
    <row customHeight="1" ht="11.25">
      <c r="A4" s="948">
        <v>4213781</v>
      </c>
      <c r="B4" s="948" t="s">
        <v>1344</v>
      </c>
    </row>
    <row customHeight="1" ht="11.25">
      <c r="A5" s="948">
        <v>4213776</v>
      </c>
      <c r="B5" s="948" t="s">
        <v>197</v>
      </c>
    </row>
    <row customHeight="1" ht="11.25">
      <c r="A6" s="948">
        <v>4213777</v>
      </c>
      <c r="B6" s="948" t="s">
        <v>203</v>
      </c>
    </row>
    <row customHeight="1" ht="11.25">
      <c r="A7" s="948">
        <v>4213778</v>
      </c>
      <c r="B7" s="948" t="s">
        <v>209</v>
      </c>
    </row>
    <row customHeight="1" ht="11.25">
      <c r="A8" s="948">
        <v>4213780</v>
      </c>
      <c r="B8" s="948" t="s">
        <v>215</v>
      </c>
    </row>
    <row customHeight="1" ht="11.25">
      <c r="A9" s="948">
        <v>4213779</v>
      </c>
      <c r="B9" s="948" t="s">
        <v>1485</v>
      </c>
    </row>
    <row customHeight="1" ht="11.25">
      <c r="A10" s="948">
        <v>4213783</v>
      </c>
      <c r="B10" s="948" t="s">
        <v>1500</v>
      </c>
    </row>
    <row customHeight="1" ht="11.25">
      <c r="A11" s="948">
        <v>4213782</v>
      </c>
      <c r="B11" s="948" t="s">
        <v>221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C695E-4055-9DC6-698E-ABB41E7F1F7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0358" width="9.140625"/>
    <col min="2" max="2" style="10358" width="65.28125" customWidth="1"/>
  </cols>
  <sheetData>
    <row customHeight="1" ht="11.25">
      <c r="A1" s="948" t="s">
        <v>3534</v>
      </c>
      <c r="B1" s="948" t="s">
        <v>3536</v>
      </c>
    </row>
    <row customHeight="1" ht="11.25">
      <c r="A2" s="948" t="s">
        <v>3537</v>
      </c>
      <c r="B2" s="948" t="s">
        <v>1600</v>
      </c>
    </row>
    <row customHeight="1" ht="11.25">
      <c r="A3" s="948" t="s">
        <v>3538</v>
      </c>
      <c r="B3" s="948" t="s">
        <v>1609</v>
      </c>
    </row>
    <row customHeight="1" ht="11.25">
      <c r="A4" s="948" t="s">
        <v>3539</v>
      </c>
      <c r="B4" s="948" t="s">
        <v>1619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A0D0E-8EFE-3FBC-02D4-CCD7FA4BF1F5}"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486" t="s">
        <v>3268</v>
      </c>
      <c r="B1" s="486" t="s">
        <v>3269</v>
      </c>
      <c r="C1" s="486" t="s">
        <v>3270</v>
      </c>
      <c r="D1" s="486" t="s">
        <v>3271</v>
      </c>
      <c r="E1" s="0" t="s">
        <v>3272</v>
      </c>
      <c r="F1" s="0" t="s">
        <v>3273</v>
      </c>
      <c r="G1" s="0" t="s">
        <v>3274</v>
      </c>
    </row>
    <row customHeight="1" ht="11.25">
      <c r="A2" s="0" t="s">
        <v>16</v>
      </c>
      <c r="B2" s="0" t="s">
        <v>137</v>
      </c>
      <c r="C2" s="0" t="s">
        <v>138</v>
      </c>
      <c r="D2" s="0" t="s">
        <v>137</v>
      </c>
      <c r="E2" s="0" t="s">
        <v>138</v>
      </c>
      <c r="F2" s="0" t="s">
        <v>3275</v>
      </c>
      <c r="G2" s="0" t="s">
        <v>136</v>
      </c>
    </row>
    <row customHeight="1" ht="11.25">
      <c r="A3" s="0" t="s">
        <v>16</v>
      </c>
      <c r="B3" s="0" t="s">
        <v>3276</v>
      </c>
      <c r="C3" s="0" t="s">
        <v>3277</v>
      </c>
      <c r="D3" s="0" t="s">
        <v>3276</v>
      </c>
      <c r="E3" s="0" t="s">
        <v>3277</v>
      </c>
      <c r="F3" s="0" t="s">
        <v>3278</v>
      </c>
      <c r="G3" s="0" t="s">
        <v>103</v>
      </c>
    </row>
    <row customHeight="1" ht="11.25">
      <c r="A4" s="0" t="s">
        <v>16</v>
      </c>
      <c r="B4" s="0" t="s">
        <v>3279</v>
      </c>
      <c r="C4" s="0" t="s">
        <v>3280</v>
      </c>
      <c r="D4" s="0" t="s">
        <v>3279</v>
      </c>
      <c r="E4" s="0" t="s">
        <v>3280</v>
      </c>
      <c r="F4" s="0" t="s">
        <v>3278</v>
      </c>
      <c r="G4" s="0" t="s">
        <v>90</v>
      </c>
    </row>
    <row customHeight="1" ht="11.25">
      <c r="A5" s="0" t="s">
        <v>16</v>
      </c>
      <c r="B5" s="0" t="s">
        <v>3281</v>
      </c>
      <c r="C5" s="0" t="s">
        <v>3282</v>
      </c>
      <c r="D5" s="0" t="s">
        <v>3281</v>
      </c>
      <c r="E5" s="0" t="s">
        <v>3282</v>
      </c>
      <c r="F5" s="0" t="s">
        <v>3278</v>
      </c>
      <c r="G5" s="0" t="s">
        <v>91</v>
      </c>
    </row>
    <row customHeight="1" ht="11.25">
      <c r="A6" s="0" t="s">
        <v>16</v>
      </c>
      <c r="B6" s="0" t="s">
        <v>127</v>
      </c>
      <c r="C6" s="0" t="s">
        <v>128</v>
      </c>
      <c r="D6" s="0" t="s">
        <v>127</v>
      </c>
      <c r="E6" s="0" t="s">
        <v>128</v>
      </c>
      <c r="F6" s="0" t="s">
        <v>3278</v>
      </c>
      <c r="G6" s="0" t="s">
        <v>116</v>
      </c>
    </row>
    <row customHeight="1" ht="11.25">
      <c r="A7" s="0" t="s">
        <v>16</v>
      </c>
      <c r="B7" s="0" t="s">
        <v>114</v>
      </c>
      <c r="C7" s="0" t="s">
        <v>115</v>
      </c>
      <c r="D7" s="0" t="s">
        <v>114</v>
      </c>
      <c r="E7" s="0" t="s">
        <v>115</v>
      </c>
      <c r="F7" s="0" t="s">
        <v>3278</v>
      </c>
      <c r="G7" s="0" t="s">
        <v>92</v>
      </c>
    </row>
    <row customHeight="1" ht="11.25">
      <c r="A8" s="0" t="s">
        <v>16</v>
      </c>
      <c r="B8" s="0" t="s">
        <v>3285</v>
      </c>
      <c r="C8" s="0" t="s">
        <v>3286</v>
      </c>
      <c r="D8" s="0" t="s">
        <v>3287</v>
      </c>
      <c r="E8" s="0" t="s">
        <v>3288</v>
      </c>
      <c r="F8" s="0" t="s">
        <v>3289</v>
      </c>
      <c r="G8" s="0" t="s">
        <v>129</v>
      </c>
    </row>
    <row customHeight="1" ht="11.25">
      <c r="A9" s="0" t="s">
        <v>16</v>
      </c>
      <c r="B9" s="0" t="s">
        <v>3285</v>
      </c>
      <c r="C9" s="0" t="s">
        <v>3286</v>
      </c>
      <c r="D9" s="0" t="s">
        <v>3285</v>
      </c>
      <c r="E9" s="0" t="s">
        <v>3286</v>
      </c>
      <c r="F9" s="0" t="s">
        <v>3290</v>
      </c>
      <c r="G9" s="0" t="s">
        <v>134</v>
      </c>
    </row>
    <row customHeight="1" ht="11.25">
      <c r="A10" s="0" t="s">
        <v>16</v>
      </c>
      <c r="B10" s="0" t="s">
        <v>3285</v>
      </c>
      <c r="C10" s="0" t="s">
        <v>3286</v>
      </c>
      <c r="D10" s="0" t="s">
        <v>3291</v>
      </c>
      <c r="E10" s="0" t="s">
        <v>3292</v>
      </c>
      <c r="F10" s="0" t="s">
        <v>3289</v>
      </c>
      <c r="G10" s="0" t="s">
        <v>180</v>
      </c>
    </row>
    <row customHeight="1" ht="11.25">
      <c r="A11" s="0" t="s">
        <v>16</v>
      </c>
      <c r="B11" s="0" t="s">
        <v>3285</v>
      </c>
      <c r="C11" s="0" t="s">
        <v>3286</v>
      </c>
      <c r="D11" s="0" t="s">
        <v>3293</v>
      </c>
      <c r="E11" s="0" t="s">
        <v>3294</v>
      </c>
      <c r="F11" s="0" t="s">
        <v>3295</v>
      </c>
      <c r="G11" s="0" t="s">
        <v>181</v>
      </c>
    </row>
    <row customHeight="1" ht="11.25">
      <c r="A12" s="0" t="s">
        <v>16</v>
      </c>
      <c r="B12" s="0" t="s">
        <v>3285</v>
      </c>
      <c r="C12" s="0" t="s">
        <v>3286</v>
      </c>
      <c r="D12" s="0" t="s">
        <v>3296</v>
      </c>
      <c r="E12" s="0" t="s">
        <v>3297</v>
      </c>
      <c r="F12" s="0" t="s">
        <v>3289</v>
      </c>
      <c r="G12" s="0" t="s">
        <v>182</v>
      </c>
    </row>
    <row customHeight="1" ht="11.25">
      <c r="A13" s="0" t="s">
        <v>16</v>
      </c>
      <c r="B13" s="0" t="s">
        <v>3285</v>
      </c>
      <c r="C13" s="0" t="s">
        <v>3286</v>
      </c>
      <c r="D13" s="0" t="s">
        <v>3298</v>
      </c>
      <c r="E13" s="0" t="s">
        <v>3299</v>
      </c>
      <c r="F13" s="0" t="s">
        <v>3289</v>
      </c>
      <c r="G13" s="0" t="s">
        <v>183</v>
      </c>
    </row>
    <row customHeight="1" ht="11.25">
      <c r="A14" s="0" t="s">
        <v>16</v>
      </c>
      <c r="B14" s="0" t="s">
        <v>3285</v>
      </c>
      <c r="C14" s="0" t="s">
        <v>3286</v>
      </c>
      <c r="D14" s="0" t="s">
        <v>3300</v>
      </c>
      <c r="E14" s="0" t="s">
        <v>3301</v>
      </c>
      <c r="F14" s="0" t="s">
        <v>3289</v>
      </c>
      <c r="G14" s="0" t="s">
        <v>184</v>
      </c>
    </row>
    <row customHeight="1" ht="11.25">
      <c r="A15" s="0" t="s">
        <v>16</v>
      </c>
      <c r="B15" s="0" t="s">
        <v>3285</v>
      </c>
      <c r="C15" s="0" t="s">
        <v>3286</v>
      </c>
      <c r="D15" s="0" t="s">
        <v>3302</v>
      </c>
      <c r="E15" s="0" t="s">
        <v>3303</v>
      </c>
      <c r="F15" s="0" t="s">
        <v>3289</v>
      </c>
      <c r="G15" s="0" t="s">
        <v>1560</v>
      </c>
    </row>
    <row customHeight="1" ht="11.25">
      <c r="A16" s="0" t="s">
        <v>16</v>
      </c>
      <c r="B16" s="0" t="s">
        <v>111</v>
      </c>
      <c r="C16" s="0" t="s">
        <v>112</v>
      </c>
      <c r="D16" s="0" t="s">
        <v>111</v>
      </c>
      <c r="E16" s="0" t="s">
        <v>112</v>
      </c>
      <c r="F16" s="0" t="s">
        <v>3275</v>
      </c>
      <c r="G16" s="0" t="s">
        <v>110</v>
      </c>
    </row>
    <row customHeight="1" ht="11.25">
      <c r="A17" s="0" t="s">
        <v>16</v>
      </c>
      <c r="B17" s="0" t="s">
        <v>3304</v>
      </c>
      <c r="C17" s="0" t="s">
        <v>3305</v>
      </c>
      <c r="D17" s="0" t="s">
        <v>3306</v>
      </c>
      <c r="E17" s="0" t="s">
        <v>3307</v>
      </c>
      <c r="F17" s="0" t="s">
        <v>3289</v>
      </c>
      <c r="G17" s="0" t="s">
        <v>1577</v>
      </c>
    </row>
    <row customHeight="1" ht="11.25">
      <c r="A18" s="0" t="s">
        <v>16</v>
      </c>
      <c r="B18" s="0" t="s">
        <v>3304</v>
      </c>
      <c r="C18" s="0" t="s">
        <v>3305</v>
      </c>
      <c r="D18" s="0" t="s">
        <v>3308</v>
      </c>
      <c r="E18" s="0" t="s">
        <v>3309</v>
      </c>
      <c r="F18" s="0" t="s">
        <v>3310</v>
      </c>
      <c r="G18" s="0" t="s">
        <v>1591</v>
      </c>
    </row>
    <row customHeight="1" ht="11.25">
      <c r="A19" s="0" t="s">
        <v>16</v>
      </c>
      <c r="B19" s="0" t="s">
        <v>3304</v>
      </c>
      <c r="C19" s="0" t="s">
        <v>3305</v>
      </c>
      <c r="D19" s="0" t="s">
        <v>3304</v>
      </c>
      <c r="E19" s="0" t="s">
        <v>3305</v>
      </c>
      <c r="F19" s="0" t="s">
        <v>3290</v>
      </c>
      <c r="G19" s="0" t="s">
        <v>1603</v>
      </c>
    </row>
    <row customHeight="1" ht="11.25">
      <c r="A20" s="0" t="s">
        <v>16</v>
      </c>
      <c r="B20" s="0" t="s">
        <v>3304</v>
      </c>
      <c r="C20" s="0" t="s">
        <v>3305</v>
      </c>
      <c r="D20" s="0" t="s">
        <v>3311</v>
      </c>
      <c r="E20" s="0" t="s">
        <v>3312</v>
      </c>
      <c r="F20" s="0" t="s">
        <v>3310</v>
      </c>
      <c r="G20" s="0" t="s">
        <v>1612</v>
      </c>
    </row>
    <row customHeight="1" ht="11.25">
      <c r="A21" s="0" t="s">
        <v>16</v>
      </c>
      <c r="B21" s="0" t="s">
        <v>3304</v>
      </c>
      <c r="C21" s="0" t="s">
        <v>3305</v>
      </c>
      <c r="D21" s="0" t="s">
        <v>3313</v>
      </c>
      <c r="E21" s="0" t="s">
        <v>3314</v>
      </c>
      <c r="F21" s="0" t="s">
        <v>3289</v>
      </c>
      <c r="G21" s="0" t="s">
        <v>1628</v>
      </c>
    </row>
    <row customHeight="1" ht="11.25">
      <c r="A22" s="0" t="s">
        <v>16</v>
      </c>
      <c r="B22" s="0" t="s">
        <v>3304</v>
      </c>
      <c r="C22" s="0" t="s">
        <v>3305</v>
      </c>
      <c r="D22" s="0" t="s">
        <v>3315</v>
      </c>
      <c r="E22" s="0" t="s">
        <v>3316</v>
      </c>
      <c r="F22" s="0" t="s">
        <v>3295</v>
      </c>
      <c r="G22" s="0" t="s">
        <v>1635</v>
      </c>
    </row>
    <row customHeight="1" ht="11.25">
      <c r="A23" s="0" t="s">
        <v>16</v>
      </c>
      <c r="B23" s="0" t="s">
        <v>3304</v>
      </c>
      <c r="C23" s="0" t="s">
        <v>3305</v>
      </c>
      <c r="D23" s="0" t="s">
        <v>3317</v>
      </c>
      <c r="E23" s="0" t="s">
        <v>3318</v>
      </c>
      <c r="F23" s="0" t="s">
        <v>3289</v>
      </c>
      <c r="G23" s="0" t="s">
        <v>1643</v>
      </c>
    </row>
    <row customHeight="1" ht="11.25">
      <c r="A24" s="0" t="s">
        <v>16</v>
      </c>
      <c r="B24" s="0" t="s">
        <v>3304</v>
      </c>
      <c r="C24" s="0" t="s">
        <v>3305</v>
      </c>
      <c r="D24" s="0" t="s">
        <v>3319</v>
      </c>
      <c r="E24" s="0" t="s">
        <v>3320</v>
      </c>
      <c r="F24" s="0" t="s">
        <v>3289</v>
      </c>
      <c r="G24" s="0" t="s">
        <v>1650</v>
      </c>
    </row>
    <row customHeight="1" ht="11.25">
      <c r="A25" s="0" t="s">
        <v>16</v>
      </c>
      <c r="B25" s="0" t="s">
        <v>3321</v>
      </c>
      <c r="C25" s="0" t="s">
        <v>3322</v>
      </c>
      <c r="D25" s="0" t="s">
        <v>3321</v>
      </c>
      <c r="E25" s="0" t="s">
        <v>3322</v>
      </c>
      <c r="F25" s="0" t="s">
        <v>3275</v>
      </c>
      <c r="G25" s="0" t="s">
        <v>1654</v>
      </c>
    </row>
    <row customHeight="1" ht="11.25">
      <c r="A26" s="0" t="s">
        <v>16</v>
      </c>
      <c r="B26" s="0" t="s">
        <v>3323</v>
      </c>
      <c r="C26" s="0" t="s">
        <v>3324</v>
      </c>
      <c r="D26" s="0" t="s">
        <v>3325</v>
      </c>
      <c r="E26" s="0" t="s">
        <v>3326</v>
      </c>
      <c r="F26" s="0" t="s">
        <v>3310</v>
      </c>
      <c r="G26" s="0" t="s">
        <v>1659</v>
      </c>
    </row>
    <row customHeight="1" ht="11.25">
      <c r="A27" s="0" t="s">
        <v>16</v>
      </c>
      <c r="B27" s="0" t="s">
        <v>3323</v>
      </c>
      <c r="C27" s="0" t="s">
        <v>3324</v>
      </c>
      <c r="D27" s="0" t="s">
        <v>3327</v>
      </c>
      <c r="E27" s="0" t="s">
        <v>3328</v>
      </c>
      <c r="F27" s="0" t="s">
        <v>3289</v>
      </c>
      <c r="G27" s="0" t="s">
        <v>1667</v>
      </c>
    </row>
    <row customHeight="1" ht="11.25">
      <c r="A28" s="0" t="s">
        <v>16</v>
      </c>
      <c r="B28" s="0" t="s">
        <v>3323</v>
      </c>
      <c r="C28" s="0" t="s">
        <v>3324</v>
      </c>
      <c r="D28" s="0" t="s">
        <v>3329</v>
      </c>
      <c r="E28" s="0" t="s">
        <v>3330</v>
      </c>
      <c r="F28" s="0" t="s">
        <v>3289</v>
      </c>
      <c r="G28" s="0" t="s">
        <v>1669</v>
      </c>
    </row>
    <row customHeight="1" ht="11.25">
      <c r="A29" s="0" t="s">
        <v>16</v>
      </c>
      <c r="B29" s="0" t="s">
        <v>3323</v>
      </c>
      <c r="C29" s="0" t="s">
        <v>3324</v>
      </c>
      <c r="D29" s="0" t="s">
        <v>3331</v>
      </c>
      <c r="E29" s="0" t="s">
        <v>3332</v>
      </c>
      <c r="F29" s="0" t="s">
        <v>3289</v>
      </c>
      <c r="G29" s="0" t="s">
        <v>1672</v>
      </c>
    </row>
    <row customHeight="1" ht="11.25">
      <c r="A30" s="0" t="s">
        <v>16</v>
      </c>
      <c r="B30" s="0" t="s">
        <v>3323</v>
      </c>
      <c r="C30" s="0" t="s">
        <v>3324</v>
      </c>
      <c r="D30" s="0" t="s">
        <v>3333</v>
      </c>
      <c r="E30" s="0" t="s">
        <v>3334</v>
      </c>
      <c r="F30" s="0" t="s">
        <v>3289</v>
      </c>
      <c r="G30" s="0" t="s">
        <v>1678</v>
      </c>
    </row>
    <row customHeight="1" ht="11.25">
      <c r="A31" s="0" t="s">
        <v>16</v>
      </c>
      <c r="B31" s="0" t="s">
        <v>3323</v>
      </c>
      <c r="C31" s="0" t="s">
        <v>3324</v>
      </c>
      <c r="D31" s="0" t="s">
        <v>3323</v>
      </c>
      <c r="E31" s="0" t="s">
        <v>3324</v>
      </c>
      <c r="F31" s="0" t="s">
        <v>3290</v>
      </c>
      <c r="G31" s="0" t="s">
        <v>1680</v>
      </c>
    </row>
    <row customHeight="1" ht="11.25">
      <c r="A32" s="0" t="s">
        <v>16</v>
      </c>
      <c r="B32" s="0" t="s">
        <v>3323</v>
      </c>
      <c r="C32" s="0" t="s">
        <v>3324</v>
      </c>
      <c r="D32" s="0" t="s">
        <v>3335</v>
      </c>
      <c r="E32" s="0" t="s">
        <v>3336</v>
      </c>
      <c r="F32" s="0" t="s">
        <v>3289</v>
      </c>
      <c r="G32" s="0" t="s">
        <v>1682</v>
      </c>
    </row>
    <row customHeight="1" ht="11.25">
      <c r="A33" s="0" t="s">
        <v>16</v>
      </c>
      <c r="B33" s="0" t="s">
        <v>3323</v>
      </c>
      <c r="C33" s="0" t="s">
        <v>3324</v>
      </c>
      <c r="D33" s="0" t="s">
        <v>3337</v>
      </c>
      <c r="E33" s="0" t="s">
        <v>3338</v>
      </c>
      <c r="F33" s="0" t="s">
        <v>3289</v>
      </c>
      <c r="G33" s="0" t="s">
        <v>1684</v>
      </c>
    </row>
    <row customHeight="1" ht="11.25">
      <c r="A34" s="0" t="s">
        <v>16</v>
      </c>
      <c r="B34" s="0" t="s">
        <v>3323</v>
      </c>
      <c r="C34" s="0" t="s">
        <v>3324</v>
      </c>
      <c r="D34" s="0" t="s">
        <v>3339</v>
      </c>
      <c r="E34" s="0" t="s">
        <v>3340</v>
      </c>
      <c r="F34" s="0" t="s">
        <v>3289</v>
      </c>
      <c r="G34" s="0" t="s">
        <v>1689</v>
      </c>
    </row>
    <row customHeight="1" ht="11.25">
      <c r="A35" s="0" t="s">
        <v>16</v>
      </c>
      <c r="B35" s="0" t="s">
        <v>3323</v>
      </c>
      <c r="C35" s="0" t="s">
        <v>3324</v>
      </c>
      <c r="D35" s="0" t="s">
        <v>3341</v>
      </c>
      <c r="E35" s="0" t="s">
        <v>3342</v>
      </c>
      <c r="F35" s="0" t="s">
        <v>3289</v>
      </c>
      <c r="G35" s="0" t="s">
        <v>1694</v>
      </c>
    </row>
    <row customHeight="1" ht="11.25">
      <c r="A36" s="0" t="s">
        <v>16</v>
      </c>
      <c r="B36" s="0" t="s">
        <v>3323</v>
      </c>
      <c r="C36" s="0" t="s">
        <v>3324</v>
      </c>
      <c r="D36" s="0" t="s">
        <v>3343</v>
      </c>
      <c r="E36" s="0" t="s">
        <v>3344</v>
      </c>
      <c r="F36" s="0" t="s">
        <v>3289</v>
      </c>
      <c r="G36" s="0" t="s">
        <v>1698</v>
      </c>
    </row>
    <row customHeight="1" ht="11.25">
      <c r="A37" s="0" t="s">
        <v>16</v>
      </c>
      <c r="B37" s="0" t="s">
        <v>3345</v>
      </c>
      <c r="C37" s="0" t="s">
        <v>3346</v>
      </c>
      <c r="D37" s="0" t="s">
        <v>3345</v>
      </c>
      <c r="E37" s="0" t="s">
        <v>3346</v>
      </c>
      <c r="F37" s="0" t="s">
        <v>3275</v>
      </c>
      <c r="G37" s="0" t="s">
        <v>1706</v>
      </c>
    </row>
    <row customHeight="1" ht="11.25">
      <c r="A38" s="0" t="s">
        <v>16</v>
      </c>
      <c r="B38" s="0" t="s">
        <v>3347</v>
      </c>
      <c r="C38" s="0" t="s">
        <v>3348</v>
      </c>
      <c r="D38" s="0" t="s">
        <v>3347</v>
      </c>
      <c r="E38" s="0" t="s">
        <v>3348</v>
      </c>
      <c r="F38" s="0" t="s">
        <v>3278</v>
      </c>
      <c r="G38" s="0" t="s">
        <v>1712</v>
      </c>
    </row>
    <row customHeight="1" ht="11.25">
      <c r="A39" s="0" t="s">
        <v>16</v>
      </c>
      <c r="B39" s="0" t="s">
        <v>119</v>
      </c>
      <c r="C39" s="0" t="s">
        <v>3349</v>
      </c>
      <c r="D39" s="0" t="s">
        <v>3350</v>
      </c>
      <c r="E39" s="0" t="s">
        <v>3351</v>
      </c>
      <c r="F39" s="0" t="s">
        <v>3289</v>
      </c>
      <c r="G39" s="0" t="s">
        <v>1717</v>
      </c>
    </row>
    <row customHeight="1" ht="11.25">
      <c r="A40" s="0" t="s">
        <v>16</v>
      </c>
      <c r="B40" s="0" t="s">
        <v>119</v>
      </c>
      <c r="C40" s="0" t="s">
        <v>3349</v>
      </c>
      <c r="D40" s="0" t="s">
        <v>3352</v>
      </c>
      <c r="E40" s="0" t="s">
        <v>3353</v>
      </c>
      <c r="F40" s="0" t="s">
        <v>3289</v>
      </c>
      <c r="G40" s="0" t="s">
        <v>1721</v>
      </c>
    </row>
    <row customHeight="1" ht="11.25">
      <c r="A41" s="0" t="s">
        <v>16</v>
      </c>
      <c r="B41" s="0" t="s">
        <v>119</v>
      </c>
      <c r="C41" s="0" t="s">
        <v>3349</v>
      </c>
      <c r="D41" s="0" t="s">
        <v>3354</v>
      </c>
      <c r="E41" s="0" t="s">
        <v>3355</v>
      </c>
      <c r="F41" s="0" t="s">
        <v>3289</v>
      </c>
      <c r="G41" s="0" t="s">
        <v>1724</v>
      </c>
    </row>
    <row customHeight="1" ht="11.25">
      <c r="A42" s="0" t="s">
        <v>16</v>
      </c>
      <c r="B42" s="0" t="s">
        <v>119</v>
      </c>
      <c r="C42" s="0" t="s">
        <v>3349</v>
      </c>
      <c r="D42" s="0" t="s">
        <v>119</v>
      </c>
      <c r="E42" s="0" t="s">
        <v>3349</v>
      </c>
      <c r="F42" s="0" t="s">
        <v>3290</v>
      </c>
      <c r="G42" s="0" t="s">
        <v>1731</v>
      </c>
    </row>
    <row customHeight="1" ht="11.25">
      <c r="A43" s="0" t="s">
        <v>16</v>
      </c>
      <c r="B43" s="0" t="s">
        <v>119</v>
      </c>
      <c r="C43" s="0" t="s">
        <v>3349</v>
      </c>
      <c r="D43" s="0" t="s">
        <v>3356</v>
      </c>
      <c r="E43" s="0" t="s">
        <v>3357</v>
      </c>
      <c r="F43" s="0" t="s">
        <v>3289</v>
      </c>
      <c r="G43" s="0" t="s">
        <v>1740</v>
      </c>
    </row>
    <row customHeight="1" ht="11.25">
      <c r="A44" s="0" t="s">
        <v>16</v>
      </c>
      <c r="B44" s="0" t="s">
        <v>119</v>
      </c>
      <c r="C44" s="0" t="s">
        <v>3349</v>
      </c>
      <c r="D44" s="0" t="s">
        <v>120</v>
      </c>
      <c r="E44" s="0" t="s">
        <v>121</v>
      </c>
      <c r="F44" s="0" t="s">
        <v>3310</v>
      </c>
      <c r="G44" s="0" t="s">
        <v>118</v>
      </c>
    </row>
    <row customHeight="1" ht="11.25">
      <c r="A45" s="0" t="s">
        <v>16</v>
      </c>
      <c r="B45" s="0" t="s">
        <v>119</v>
      </c>
      <c r="C45" s="0" t="s">
        <v>3349</v>
      </c>
      <c r="D45" s="0" t="s">
        <v>3358</v>
      </c>
      <c r="E45" s="0" t="s">
        <v>3359</v>
      </c>
      <c r="F45" s="0" t="s">
        <v>3289</v>
      </c>
      <c r="G45" s="0" t="s">
        <v>1748</v>
      </c>
    </row>
    <row customHeight="1" ht="11.25">
      <c r="A46" s="0" t="s">
        <v>16</v>
      </c>
      <c r="B46" s="0" t="s">
        <v>119</v>
      </c>
      <c r="C46" s="0" t="s">
        <v>3349</v>
      </c>
      <c r="D46" s="0" t="s">
        <v>3360</v>
      </c>
      <c r="E46" s="0" t="s">
        <v>3361</v>
      </c>
      <c r="F46" s="0" t="s">
        <v>3289</v>
      </c>
      <c r="G46" s="0" t="s">
        <v>1754</v>
      </c>
    </row>
    <row customHeight="1" ht="11.25">
      <c r="A47" s="0" t="s">
        <v>16</v>
      </c>
      <c r="B47" s="0" t="s">
        <v>3362</v>
      </c>
      <c r="C47" s="0" t="s">
        <v>3363</v>
      </c>
      <c r="D47" s="0" t="s">
        <v>3362</v>
      </c>
      <c r="E47" s="0" t="s">
        <v>3363</v>
      </c>
      <c r="F47" s="0" t="s">
        <v>3290</v>
      </c>
      <c r="G47" s="0" t="s">
        <v>1758</v>
      </c>
    </row>
    <row customHeight="1" ht="11.25">
      <c r="A48" s="0" t="s">
        <v>16</v>
      </c>
      <c r="B48" s="0" t="s">
        <v>3362</v>
      </c>
      <c r="C48" s="0" t="s">
        <v>3363</v>
      </c>
      <c r="D48" s="0" t="s">
        <v>3364</v>
      </c>
      <c r="E48" s="0" t="s">
        <v>3365</v>
      </c>
      <c r="F48" s="0" t="s">
        <v>3289</v>
      </c>
      <c r="G48" s="0" t="s">
        <v>1761</v>
      </c>
    </row>
    <row customHeight="1" ht="11.25">
      <c r="A49" s="0" t="s">
        <v>16</v>
      </c>
      <c r="B49" s="0" t="s">
        <v>3362</v>
      </c>
      <c r="C49" s="0" t="s">
        <v>3363</v>
      </c>
      <c r="D49" s="0" t="s">
        <v>3366</v>
      </c>
      <c r="E49" s="0" t="s">
        <v>3367</v>
      </c>
      <c r="F49" s="0" t="s">
        <v>3289</v>
      </c>
      <c r="G49" s="0" t="s">
        <v>1764</v>
      </c>
    </row>
    <row customHeight="1" ht="11.25">
      <c r="A50" s="0" t="s">
        <v>16</v>
      </c>
      <c r="B50" s="0" t="s">
        <v>3362</v>
      </c>
      <c r="C50" s="0" t="s">
        <v>3363</v>
      </c>
      <c r="D50" s="0" t="s">
        <v>3368</v>
      </c>
      <c r="E50" s="0" t="s">
        <v>3369</v>
      </c>
      <c r="F50" s="0" t="s">
        <v>3289</v>
      </c>
      <c r="G50" s="0" t="s">
        <v>1769</v>
      </c>
    </row>
    <row customHeight="1" ht="11.25">
      <c r="A51" s="0" t="s">
        <v>16</v>
      </c>
      <c r="B51" s="0" t="s">
        <v>3370</v>
      </c>
      <c r="C51" s="0" t="s">
        <v>3371</v>
      </c>
      <c r="D51" s="0" t="s">
        <v>3370</v>
      </c>
      <c r="E51" s="0" t="s">
        <v>3371</v>
      </c>
      <c r="F51" s="0" t="s">
        <v>3278</v>
      </c>
      <c r="G51" s="0" t="s">
        <v>1773</v>
      </c>
    </row>
    <row customHeight="1" ht="11.25">
      <c r="A52" s="0" t="s">
        <v>16</v>
      </c>
      <c r="B52" s="0" t="s">
        <v>3372</v>
      </c>
      <c r="C52" s="0" t="s">
        <v>3373</v>
      </c>
      <c r="D52" s="0" t="s">
        <v>3372</v>
      </c>
      <c r="E52" s="0" t="s">
        <v>3373</v>
      </c>
      <c r="F52" s="0" t="s">
        <v>3275</v>
      </c>
      <c r="G52" s="0" t="s">
        <v>1775</v>
      </c>
    </row>
    <row customHeight="1" ht="11.25">
      <c r="A53" s="0" t="s">
        <v>16</v>
      </c>
      <c r="B53" s="0" t="s">
        <v>3374</v>
      </c>
      <c r="C53" s="0" t="s">
        <v>3375</v>
      </c>
      <c r="D53" s="0" t="s">
        <v>3374</v>
      </c>
      <c r="E53" s="0" t="s">
        <v>3375</v>
      </c>
      <c r="F53" s="0" t="s">
        <v>3275</v>
      </c>
      <c r="G53" s="0" t="s">
        <v>1778</v>
      </c>
    </row>
    <row customHeight="1" ht="11.25">
      <c r="A54" s="0" t="s">
        <v>16</v>
      </c>
      <c r="B54" s="0" t="s">
        <v>3376</v>
      </c>
      <c r="C54" s="0" t="s">
        <v>3377</v>
      </c>
      <c r="D54" s="0" t="s">
        <v>3376</v>
      </c>
      <c r="E54" s="0" t="s">
        <v>3377</v>
      </c>
      <c r="F54" s="0" t="s">
        <v>3278</v>
      </c>
      <c r="G54" s="0" t="s">
        <v>1783</v>
      </c>
    </row>
    <row customHeight="1" ht="11.25">
      <c r="A55" s="0" t="s">
        <v>16</v>
      </c>
      <c r="B55" s="0" t="s">
        <v>3378</v>
      </c>
      <c r="C55" s="0" t="s">
        <v>3379</v>
      </c>
      <c r="D55" s="0" t="s">
        <v>3378</v>
      </c>
      <c r="E55" s="0" t="s">
        <v>3379</v>
      </c>
      <c r="F55" s="0" t="s">
        <v>3275</v>
      </c>
      <c r="G55" s="0" t="s">
        <v>1786</v>
      </c>
    </row>
    <row customHeight="1" ht="11.25">
      <c r="A56" s="0" t="s">
        <v>16</v>
      </c>
      <c r="B56" s="0" t="s">
        <v>3380</v>
      </c>
      <c r="C56" s="0" t="s">
        <v>3381</v>
      </c>
      <c r="D56" s="0" t="s">
        <v>3382</v>
      </c>
      <c r="E56" s="0" t="s">
        <v>3383</v>
      </c>
      <c r="F56" s="0" t="s">
        <v>3289</v>
      </c>
      <c r="G56" s="0" t="s">
        <v>1789</v>
      </c>
    </row>
    <row customHeight="1" ht="11.25">
      <c r="A57" s="0" t="s">
        <v>16</v>
      </c>
      <c r="B57" s="0" t="s">
        <v>3380</v>
      </c>
      <c r="C57" s="0" t="s">
        <v>3381</v>
      </c>
      <c r="D57" s="0" t="s">
        <v>3384</v>
      </c>
      <c r="E57" s="0" t="s">
        <v>3385</v>
      </c>
      <c r="F57" s="0" t="s">
        <v>3289</v>
      </c>
      <c r="G57" s="0" t="s">
        <v>1792</v>
      </c>
    </row>
    <row customHeight="1" ht="11.25">
      <c r="A58" s="0" t="s">
        <v>16</v>
      </c>
      <c r="B58" s="0" t="s">
        <v>3380</v>
      </c>
      <c r="C58" s="0" t="s">
        <v>3381</v>
      </c>
      <c r="D58" s="0" t="s">
        <v>3386</v>
      </c>
      <c r="E58" s="0" t="s">
        <v>3387</v>
      </c>
      <c r="F58" s="0" t="s">
        <v>3289</v>
      </c>
      <c r="G58" s="0" t="s">
        <v>1796</v>
      </c>
    </row>
    <row customHeight="1" ht="11.25">
      <c r="A59" s="0" t="s">
        <v>16</v>
      </c>
      <c r="B59" s="0" t="s">
        <v>3380</v>
      </c>
      <c r="C59" s="0" t="s">
        <v>3381</v>
      </c>
      <c r="D59" s="0" t="s">
        <v>3388</v>
      </c>
      <c r="E59" s="0" t="s">
        <v>3389</v>
      </c>
      <c r="F59" s="0" t="s">
        <v>3295</v>
      </c>
      <c r="G59" s="0" t="s">
        <v>1799</v>
      </c>
    </row>
    <row customHeight="1" ht="11.25">
      <c r="A60" s="0" t="s">
        <v>16</v>
      </c>
      <c r="B60" s="0" t="s">
        <v>3380</v>
      </c>
      <c r="C60" s="0" t="s">
        <v>3381</v>
      </c>
      <c r="D60" s="0" t="s">
        <v>3390</v>
      </c>
      <c r="E60" s="0" t="s">
        <v>3391</v>
      </c>
      <c r="F60" s="0" t="s">
        <v>3289</v>
      </c>
      <c r="G60" s="0" t="s">
        <v>3392</v>
      </c>
    </row>
    <row customHeight="1" ht="11.25">
      <c r="A61" s="0" t="s">
        <v>16</v>
      </c>
      <c r="B61" s="0" t="s">
        <v>3380</v>
      </c>
      <c r="C61" s="0" t="s">
        <v>3381</v>
      </c>
      <c r="D61" s="0" t="s">
        <v>3393</v>
      </c>
      <c r="E61" s="0" t="s">
        <v>3394</v>
      </c>
      <c r="F61" s="0" t="s">
        <v>3289</v>
      </c>
      <c r="G61" s="0" t="s">
        <v>3395</v>
      </c>
    </row>
    <row customHeight="1" ht="11.25">
      <c r="A62" s="0" t="s">
        <v>16</v>
      </c>
      <c r="B62" s="0" t="s">
        <v>3380</v>
      </c>
      <c r="C62" s="0" t="s">
        <v>3381</v>
      </c>
      <c r="D62" s="0" t="s">
        <v>3380</v>
      </c>
      <c r="E62" s="0" t="s">
        <v>3381</v>
      </c>
      <c r="F62" s="0" t="s">
        <v>3290</v>
      </c>
      <c r="G62" s="0" t="s">
        <v>3396</v>
      </c>
    </row>
    <row customHeight="1" ht="11.25">
      <c r="A63" s="0" t="s">
        <v>16</v>
      </c>
      <c r="B63" s="0" t="s">
        <v>3380</v>
      </c>
      <c r="C63" s="0" t="s">
        <v>3381</v>
      </c>
      <c r="D63" s="0" t="s">
        <v>3397</v>
      </c>
      <c r="E63" s="0" t="s">
        <v>3398</v>
      </c>
      <c r="F63" s="0" t="s">
        <v>3289</v>
      </c>
      <c r="G63" s="0" t="s">
        <v>3399</v>
      </c>
    </row>
    <row customHeight="1" ht="11.25">
      <c r="A64" s="0" t="s">
        <v>16</v>
      </c>
      <c r="B64" s="0" t="s">
        <v>3400</v>
      </c>
      <c r="C64" s="0" t="s">
        <v>3401</v>
      </c>
      <c r="D64" s="0" t="s">
        <v>3400</v>
      </c>
      <c r="E64" s="0" t="s">
        <v>3401</v>
      </c>
      <c r="F64" s="0" t="s">
        <v>3275</v>
      </c>
      <c r="G64" s="0" t="s">
        <v>3402</v>
      </c>
    </row>
    <row customHeight="1" ht="11.25">
      <c r="A65" s="0" t="s">
        <v>16</v>
      </c>
      <c r="B65" s="0" t="s">
        <v>3403</v>
      </c>
      <c r="C65" s="0" t="s">
        <v>3404</v>
      </c>
      <c r="D65" s="0" t="s">
        <v>3403</v>
      </c>
      <c r="E65" s="0" t="s">
        <v>3404</v>
      </c>
      <c r="F65" s="0" t="s">
        <v>3275</v>
      </c>
      <c r="G65" s="0" t="s">
        <v>3405</v>
      </c>
    </row>
    <row customHeight="1" ht="11.25">
      <c r="A66" s="0" t="s">
        <v>16</v>
      </c>
      <c r="B66" s="0" t="s">
        <v>3406</v>
      </c>
      <c r="C66" s="0" t="s">
        <v>3407</v>
      </c>
      <c r="D66" s="0" t="s">
        <v>3408</v>
      </c>
      <c r="E66" s="0" t="s">
        <v>3409</v>
      </c>
      <c r="F66" s="0" t="s">
        <v>3289</v>
      </c>
      <c r="G66" s="0" t="s">
        <v>2118</v>
      </c>
    </row>
    <row customHeight="1" ht="11.25">
      <c r="A67" s="0" t="s">
        <v>16</v>
      </c>
      <c r="B67" s="0" t="s">
        <v>3406</v>
      </c>
      <c r="C67" s="0" t="s">
        <v>3407</v>
      </c>
      <c r="D67" s="0" t="s">
        <v>3410</v>
      </c>
      <c r="E67" s="0" t="s">
        <v>3411</v>
      </c>
      <c r="F67" s="0" t="s">
        <v>3289</v>
      </c>
      <c r="G67" s="0" t="s">
        <v>3412</v>
      </c>
    </row>
    <row customHeight="1" ht="11.25">
      <c r="A68" s="0" t="s">
        <v>16</v>
      </c>
      <c r="B68" s="0" t="s">
        <v>3406</v>
      </c>
      <c r="C68" s="0" t="s">
        <v>3407</v>
      </c>
      <c r="D68" s="0" t="s">
        <v>3413</v>
      </c>
      <c r="E68" s="0" t="s">
        <v>3414</v>
      </c>
      <c r="F68" s="0" t="s">
        <v>3289</v>
      </c>
      <c r="G68" s="0" t="s">
        <v>2321</v>
      </c>
    </row>
    <row customHeight="1" ht="11.25">
      <c r="A69" s="0" t="s">
        <v>16</v>
      </c>
      <c r="B69" s="0" t="s">
        <v>3406</v>
      </c>
      <c r="C69" s="0" t="s">
        <v>3407</v>
      </c>
      <c r="D69" s="0" t="s">
        <v>3415</v>
      </c>
      <c r="E69" s="0" t="s">
        <v>3416</v>
      </c>
      <c r="F69" s="0" t="s">
        <v>3289</v>
      </c>
      <c r="G69" s="0" t="s">
        <v>3417</v>
      </c>
    </row>
    <row customHeight="1" ht="11.25">
      <c r="A70" s="0" t="s">
        <v>16</v>
      </c>
      <c r="B70" s="0" t="s">
        <v>3406</v>
      </c>
      <c r="C70" s="0" t="s">
        <v>3407</v>
      </c>
      <c r="D70" s="0" t="s">
        <v>3418</v>
      </c>
      <c r="E70" s="0" t="s">
        <v>3419</v>
      </c>
      <c r="F70" s="0" t="s">
        <v>3289</v>
      </c>
      <c r="G70" s="0" t="s">
        <v>3420</v>
      </c>
    </row>
    <row customHeight="1" ht="11.25">
      <c r="A71" s="0" t="s">
        <v>16</v>
      </c>
      <c r="B71" s="0" t="s">
        <v>3406</v>
      </c>
      <c r="C71" s="0" t="s">
        <v>3407</v>
      </c>
      <c r="D71" s="0" t="s">
        <v>3406</v>
      </c>
      <c r="E71" s="0" t="s">
        <v>3407</v>
      </c>
      <c r="F71" s="0" t="s">
        <v>3290</v>
      </c>
      <c r="G71" s="0" t="s">
        <v>3421</v>
      </c>
    </row>
    <row customHeight="1" ht="11.25">
      <c r="A72" s="0" t="s">
        <v>16</v>
      </c>
      <c r="B72" s="0" t="s">
        <v>3406</v>
      </c>
      <c r="C72" s="0" t="s">
        <v>3407</v>
      </c>
      <c r="D72" s="0" t="s">
        <v>3422</v>
      </c>
      <c r="E72" s="0" t="s">
        <v>3423</v>
      </c>
      <c r="F72" s="0" t="s">
        <v>3289</v>
      </c>
      <c r="G72" s="0" t="s">
        <v>3424</v>
      </c>
    </row>
    <row customHeight="1" ht="11.25">
      <c r="A73" s="0" t="s">
        <v>16</v>
      </c>
      <c r="B73" s="0" t="s">
        <v>3406</v>
      </c>
      <c r="C73" s="0" t="s">
        <v>3407</v>
      </c>
      <c r="D73" s="0" t="s">
        <v>3425</v>
      </c>
      <c r="E73" s="0" t="s">
        <v>3426</v>
      </c>
      <c r="F73" s="0" t="s">
        <v>3289</v>
      </c>
      <c r="G73" s="0" t="s">
        <v>3427</v>
      </c>
    </row>
    <row customHeight="1" ht="11.25">
      <c r="A74" s="0" t="s">
        <v>16</v>
      </c>
      <c r="B74" s="0" t="s">
        <v>3406</v>
      </c>
      <c r="C74" s="0" t="s">
        <v>3407</v>
      </c>
      <c r="D74" s="0" t="s">
        <v>3428</v>
      </c>
      <c r="E74" s="0" t="s">
        <v>3429</v>
      </c>
      <c r="F74" s="0" t="s">
        <v>3289</v>
      </c>
      <c r="G74" s="0" t="s">
        <v>3430</v>
      </c>
    </row>
    <row customHeight="1" ht="11.25">
      <c r="A75" s="0" t="s">
        <v>16</v>
      </c>
      <c r="B75" s="0" t="s">
        <v>3431</v>
      </c>
      <c r="C75" s="0" t="s">
        <v>3432</v>
      </c>
      <c r="D75" s="0" t="s">
        <v>3431</v>
      </c>
      <c r="E75" s="0" t="s">
        <v>3432</v>
      </c>
      <c r="F75" s="0" t="s">
        <v>3275</v>
      </c>
      <c r="G75" s="0" t="s">
        <v>3433</v>
      </c>
    </row>
    <row customHeight="1" ht="11.25">
      <c r="A76" s="0" t="s">
        <v>16</v>
      </c>
      <c r="B76" s="0" t="s">
        <v>3434</v>
      </c>
      <c r="C76" s="0" t="s">
        <v>3435</v>
      </c>
      <c r="D76" s="0" t="s">
        <v>3434</v>
      </c>
      <c r="E76" s="0" t="s">
        <v>3435</v>
      </c>
      <c r="F76" s="0" t="s">
        <v>3278</v>
      </c>
      <c r="G76" s="0" t="s">
        <v>3436</v>
      </c>
    </row>
    <row customHeight="1" ht="11.25">
      <c r="A77" s="0" t="s">
        <v>16</v>
      </c>
      <c r="B77" s="0" t="s">
        <v>3437</v>
      </c>
      <c r="C77" s="0" t="s">
        <v>3438</v>
      </c>
      <c r="D77" s="0" t="s">
        <v>3437</v>
      </c>
      <c r="E77" s="0" t="s">
        <v>3438</v>
      </c>
      <c r="F77" s="0" t="s">
        <v>3275</v>
      </c>
      <c r="G77" s="0" t="s">
        <v>3439</v>
      </c>
    </row>
    <row customHeight="1" ht="11.25">
      <c r="A78" s="0" t="s">
        <v>16</v>
      </c>
      <c r="B78" s="0" t="s">
        <v>100</v>
      </c>
      <c r="C78" s="0" t="s">
        <v>101</v>
      </c>
      <c r="D78" s="0" t="s">
        <v>100</v>
      </c>
      <c r="E78" s="0" t="s">
        <v>101</v>
      </c>
      <c r="F78" s="0" t="s">
        <v>3275</v>
      </c>
      <c r="G78" s="0" t="s">
        <v>99</v>
      </c>
    </row>
    <row customHeight="1" ht="11.25">
      <c r="A79" s="0" t="s">
        <v>16</v>
      </c>
      <c r="B79" s="0" t="s">
        <v>3440</v>
      </c>
      <c r="C79" s="0" t="s">
        <v>3441</v>
      </c>
      <c r="D79" s="0" t="s">
        <v>3440</v>
      </c>
      <c r="E79" s="0" t="s">
        <v>3441</v>
      </c>
      <c r="F79" s="0" t="s">
        <v>3275</v>
      </c>
      <c r="G79" s="0" t="s">
        <v>3442</v>
      </c>
    </row>
    <row customHeight="1" ht="11.25">
      <c r="A80" s="0" t="s">
        <v>16</v>
      </c>
      <c r="B80" s="0" t="s">
        <v>132</v>
      </c>
      <c r="C80" s="0" t="s">
        <v>133</v>
      </c>
      <c r="D80" s="0" t="s">
        <v>132</v>
      </c>
      <c r="E80" s="0" t="s">
        <v>133</v>
      </c>
      <c r="F80" s="0" t="s">
        <v>3275</v>
      </c>
      <c r="G80" s="0" t="s">
        <v>131</v>
      </c>
    </row>
    <row customHeight="1" ht="11.25">
      <c r="A81" s="0" t="s">
        <v>16</v>
      </c>
      <c r="B81" s="0" t="s">
        <v>3443</v>
      </c>
      <c r="C81" s="0" t="s">
        <v>3444</v>
      </c>
      <c r="D81" s="0" t="s">
        <v>3445</v>
      </c>
      <c r="E81" s="0" t="s">
        <v>3446</v>
      </c>
      <c r="F81" s="0" t="s">
        <v>3289</v>
      </c>
      <c r="G81" s="0" t="s">
        <v>3447</v>
      </c>
    </row>
    <row customHeight="1" ht="11.25">
      <c r="A82" s="0" t="s">
        <v>16</v>
      </c>
      <c r="B82" s="0" t="s">
        <v>3443</v>
      </c>
      <c r="C82" s="0" t="s">
        <v>3444</v>
      </c>
      <c r="D82" s="0" t="s">
        <v>3448</v>
      </c>
      <c r="E82" s="0" t="s">
        <v>3449</v>
      </c>
      <c r="F82" s="0" t="s">
        <v>3295</v>
      </c>
      <c r="G82" s="0" t="s">
        <v>3450</v>
      </c>
    </row>
    <row customHeight="1" ht="11.25">
      <c r="A83" s="0" t="s">
        <v>16</v>
      </c>
      <c r="B83" s="0" t="s">
        <v>3443</v>
      </c>
      <c r="C83" s="0" t="s">
        <v>3444</v>
      </c>
      <c r="D83" s="0" t="s">
        <v>3451</v>
      </c>
      <c r="E83" s="0" t="s">
        <v>3452</v>
      </c>
      <c r="F83" s="0" t="s">
        <v>3289</v>
      </c>
      <c r="G83" s="0" t="s">
        <v>3453</v>
      </c>
    </row>
    <row customHeight="1" ht="11.25">
      <c r="A84" s="0" t="s">
        <v>16</v>
      </c>
      <c r="B84" s="0" t="s">
        <v>3443</v>
      </c>
      <c r="C84" s="0" t="s">
        <v>3444</v>
      </c>
      <c r="D84" s="0" t="s">
        <v>3454</v>
      </c>
      <c r="E84" s="0" t="s">
        <v>3455</v>
      </c>
      <c r="F84" s="0" t="s">
        <v>3310</v>
      </c>
      <c r="G84" s="0" t="s">
        <v>3456</v>
      </c>
    </row>
    <row customHeight="1" ht="11.25">
      <c r="A85" s="0" t="s">
        <v>16</v>
      </c>
      <c r="B85" s="0" t="s">
        <v>3443</v>
      </c>
      <c r="C85" s="0" t="s">
        <v>3444</v>
      </c>
      <c r="D85" s="0" t="s">
        <v>3457</v>
      </c>
      <c r="E85" s="0" t="s">
        <v>3458</v>
      </c>
      <c r="F85" s="0" t="s">
        <v>3289</v>
      </c>
      <c r="G85" s="0" t="s">
        <v>3459</v>
      </c>
    </row>
    <row customHeight="1" ht="11.25">
      <c r="A86" s="0" t="s">
        <v>16</v>
      </c>
      <c r="B86" s="0" t="s">
        <v>3443</v>
      </c>
      <c r="C86" s="0" t="s">
        <v>3444</v>
      </c>
      <c r="D86" s="0" t="s">
        <v>3443</v>
      </c>
      <c r="E86" s="0" t="s">
        <v>3444</v>
      </c>
      <c r="F86" s="0" t="s">
        <v>3290</v>
      </c>
      <c r="G86" s="0" t="s">
        <v>3460</v>
      </c>
    </row>
    <row customHeight="1" ht="11.25">
      <c r="A87" s="0" t="s">
        <v>16</v>
      </c>
      <c r="B87" s="0" t="s">
        <v>3443</v>
      </c>
      <c r="C87" s="0" t="s">
        <v>3444</v>
      </c>
      <c r="D87" s="0" t="s">
        <v>3461</v>
      </c>
      <c r="E87" s="0" t="s">
        <v>3462</v>
      </c>
      <c r="F87" s="0" t="s">
        <v>3289</v>
      </c>
      <c r="G87" s="0" t="s">
        <v>3463</v>
      </c>
    </row>
    <row customHeight="1" ht="11.25">
      <c r="A88" s="0" t="s">
        <v>16</v>
      </c>
      <c r="B88" s="0" t="s">
        <v>3464</v>
      </c>
      <c r="C88" s="0" t="s">
        <v>3465</v>
      </c>
      <c r="D88" s="0" t="s">
        <v>3464</v>
      </c>
      <c r="E88" s="0" t="s">
        <v>3465</v>
      </c>
      <c r="F88" s="0" t="s">
        <v>3275</v>
      </c>
      <c r="G88" s="0" t="s">
        <v>3466</v>
      </c>
    </row>
    <row customHeight="1" ht="11.25">
      <c r="A89" s="0" t="s">
        <v>16</v>
      </c>
      <c r="B89" s="0" t="s">
        <v>107</v>
      </c>
      <c r="C89" s="0" t="s">
        <v>108</v>
      </c>
      <c r="D89" s="0" t="s">
        <v>107</v>
      </c>
      <c r="E89" s="0" t="s">
        <v>108</v>
      </c>
      <c r="F89" s="0" t="s">
        <v>3275</v>
      </c>
      <c r="G89" s="0" t="s">
        <v>106</v>
      </c>
    </row>
    <row customHeight="1" ht="11.25">
      <c r="A90" s="0" t="s">
        <v>16</v>
      </c>
      <c r="B90" s="0" t="s">
        <v>3467</v>
      </c>
      <c r="C90" s="0" t="s">
        <v>3468</v>
      </c>
      <c r="D90" s="0" t="s">
        <v>3469</v>
      </c>
      <c r="E90" s="0" t="s">
        <v>3470</v>
      </c>
      <c r="F90" s="0" t="s">
        <v>3289</v>
      </c>
      <c r="G90" s="0" t="s">
        <v>3471</v>
      </c>
    </row>
    <row customHeight="1" ht="11.25">
      <c r="A91" s="0" t="s">
        <v>16</v>
      </c>
      <c r="B91" s="0" t="s">
        <v>3467</v>
      </c>
      <c r="C91" s="0" t="s">
        <v>3468</v>
      </c>
      <c r="D91" s="0" t="s">
        <v>3472</v>
      </c>
      <c r="E91" s="0" t="s">
        <v>3473</v>
      </c>
      <c r="F91" s="0" t="s">
        <v>3289</v>
      </c>
      <c r="G91" s="0" t="s">
        <v>3474</v>
      </c>
    </row>
    <row customHeight="1" ht="11.25">
      <c r="A92" s="0" t="s">
        <v>16</v>
      </c>
      <c r="B92" s="0" t="s">
        <v>3467</v>
      </c>
      <c r="C92" s="0" t="s">
        <v>3468</v>
      </c>
      <c r="D92" s="0" t="s">
        <v>3475</v>
      </c>
      <c r="E92" s="0" t="s">
        <v>3476</v>
      </c>
      <c r="F92" s="0" t="s">
        <v>3289</v>
      </c>
      <c r="G92" s="0" t="s">
        <v>3477</v>
      </c>
    </row>
    <row customHeight="1" ht="11.25">
      <c r="A93" s="0" t="s">
        <v>16</v>
      </c>
      <c r="B93" s="0" t="s">
        <v>3467</v>
      </c>
      <c r="C93" s="0" t="s">
        <v>3468</v>
      </c>
      <c r="D93" s="0" t="s">
        <v>3478</v>
      </c>
      <c r="E93" s="0" t="s">
        <v>3479</v>
      </c>
      <c r="F93" s="0" t="s">
        <v>3310</v>
      </c>
      <c r="G93" s="0" t="s">
        <v>3480</v>
      </c>
    </row>
    <row customHeight="1" ht="11.25">
      <c r="A94" s="0" t="s">
        <v>16</v>
      </c>
      <c r="B94" s="0" t="s">
        <v>3467</v>
      </c>
      <c r="C94" s="0" t="s">
        <v>3468</v>
      </c>
      <c r="D94" s="0" t="s">
        <v>3481</v>
      </c>
      <c r="E94" s="0" t="s">
        <v>3482</v>
      </c>
      <c r="F94" s="0" t="s">
        <v>3289</v>
      </c>
      <c r="G94" s="0" t="s">
        <v>3483</v>
      </c>
    </row>
    <row customHeight="1" ht="11.25">
      <c r="A95" s="0" t="s">
        <v>16</v>
      </c>
      <c r="B95" s="0" t="s">
        <v>3467</v>
      </c>
      <c r="C95" s="0" t="s">
        <v>3468</v>
      </c>
      <c r="D95" s="0" t="s">
        <v>3467</v>
      </c>
      <c r="E95" s="0" t="s">
        <v>3468</v>
      </c>
      <c r="F95" s="0" t="s">
        <v>3290</v>
      </c>
      <c r="G95" s="0" t="s">
        <v>3484</v>
      </c>
    </row>
    <row customHeight="1" ht="11.25">
      <c r="A96" s="0" t="s">
        <v>16</v>
      </c>
      <c r="B96" s="0" t="s">
        <v>3467</v>
      </c>
      <c r="C96" s="0" t="s">
        <v>3468</v>
      </c>
      <c r="D96" s="0" t="s">
        <v>3485</v>
      </c>
      <c r="E96" s="0" t="s">
        <v>3486</v>
      </c>
      <c r="F96" s="0" t="s">
        <v>3310</v>
      </c>
      <c r="G96" s="0" t="s">
        <v>3487</v>
      </c>
    </row>
    <row customHeight="1" ht="11.25">
      <c r="A97" s="0" t="s">
        <v>16</v>
      </c>
      <c r="B97" s="0" t="s">
        <v>3467</v>
      </c>
      <c r="C97" s="0" t="s">
        <v>3468</v>
      </c>
      <c r="D97" s="0" t="s">
        <v>3488</v>
      </c>
      <c r="E97" s="0" t="s">
        <v>3489</v>
      </c>
      <c r="F97" s="0" t="s">
        <v>3289</v>
      </c>
      <c r="G97" s="0" t="s">
        <v>3490</v>
      </c>
    </row>
    <row customHeight="1" ht="11.25">
      <c r="A98" s="0" t="s">
        <v>16</v>
      </c>
      <c r="B98" s="0" t="s">
        <v>3491</v>
      </c>
      <c r="C98" s="0" t="s">
        <v>3492</v>
      </c>
      <c r="D98" s="0" t="s">
        <v>3491</v>
      </c>
      <c r="E98" s="0" t="s">
        <v>3492</v>
      </c>
      <c r="F98" s="0" t="s">
        <v>3275</v>
      </c>
      <c r="G98" s="0" t="s">
        <v>3493</v>
      </c>
    </row>
    <row customHeight="1" ht="11.25">
      <c r="A99" s="0" t="s">
        <v>16</v>
      </c>
      <c r="B99" s="0" t="s">
        <v>3494</v>
      </c>
      <c r="C99" s="0" t="s">
        <v>3495</v>
      </c>
      <c r="D99" s="0" t="s">
        <v>3496</v>
      </c>
      <c r="E99" s="0" t="s">
        <v>3497</v>
      </c>
      <c r="F99" s="0" t="s">
        <v>3289</v>
      </c>
      <c r="G99" s="0" t="s">
        <v>3498</v>
      </c>
    </row>
    <row customHeight="1" ht="11.25">
      <c r="A100" s="0" t="s">
        <v>16</v>
      </c>
      <c r="B100" s="0" t="s">
        <v>3494</v>
      </c>
      <c r="C100" s="0" t="s">
        <v>3495</v>
      </c>
      <c r="D100" s="0" t="s">
        <v>3499</v>
      </c>
      <c r="E100" s="0" t="s">
        <v>3500</v>
      </c>
      <c r="F100" s="0" t="s">
        <v>3289</v>
      </c>
      <c r="G100" s="0" t="s">
        <v>3501</v>
      </c>
    </row>
    <row customHeight="1" ht="11.25">
      <c r="A101" s="0" t="s">
        <v>16</v>
      </c>
      <c r="B101" s="0" t="s">
        <v>3494</v>
      </c>
      <c r="C101" s="0" t="s">
        <v>3495</v>
      </c>
      <c r="D101" s="0" t="s">
        <v>3502</v>
      </c>
      <c r="E101" s="0" t="s">
        <v>3503</v>
      </c>
      <c r="F101" s="0" t="s">
        <v>3289</v>
      </c>
      <c r="G101" s="0" t="s">
        <v>3504</v>
      </c>
    </row>
    <row customHeight="1" ht="11.25">
      <c r="A102" s="0" t="s">
        <v>16</v>
      </c>
      <c r="B102" s="0" t="s">
        <v>3494</v>
      </c>
      <c r="C102" s="0" t="s">
        <v>3495</v>
      </c>
      <c r="D102" s="0" t="s">
        <v>3505</v>
      </c>
      <c r="E102" s="0" t="s">
        <v>3506</v>
      </c>
      <c r="F102" s="0" t="s">
        <v>3289</v>
      </c>
      <c r="G102" s="0" t="s">
        <v>3507</v>
      </c>
    </row>
    <row customHeight="1" ht="11.25">
      <c r="A103" s="0" t="s">
        <v>16</v>
      </c>
      <c r="B103" s="0" t="s">
        <v>3494</v>
      </c>
      <c r="C103" s="0" t="s">
        <v>3495</v>
      </c>
      <c r="D103" s="0" t="s">
        <v>3494</v>
      </c>
      <c r="E103" s="0" t="s">
        <v>3495</v>
      </c>
      <c r="F103" s="0" t="s">
        <v>3290</v>
      </c>
      <c r="G103" s="0" t="s">
        <v>3508</v>
      </c>
    </row>
    <row customHeight="1" ht="11.25">
      <c r="A104" s="0" t="s">
        <v>16</v>
      </c>
      <c r="B104" s="0" t="s">
        <v>3494</v>
      </c>
      <c r="C104" s="0" t="s">
        <v>3495</v>
      </c>
      <c r="D104" s="0" t="s">
        <v>3509</v>
      </c>
      <c r="E104" s="0" t="s">
        <v>3510</v>
      </c>
      <c r="F104" s="0" t="s">
        <v>3289</v>
      </c>
      <c r="G104" s="0" t="s">
        <v>3511</v>
      </c>
    </row>
    <row customHeight="1" ht="11.25">
      <c r="A105" s="0" t="s">
        <v>16</v>
      </c>
      <c r="B105" s="0" t="s">
        <v>3512</v>
      </c>
      <c r="C105" s="0" t="s">
        <v>3513</v>
      </c>
      <c r="D105" s="0" t="s">
        <v>3512</v>
      </c>
      <c r="E105" s="0" t="s">
        <v>3513</v>
      </c>
      <c r="F105" s="0" t="s">
        <v>3278</v>
      </c>
      <c r="G105" s="0" t="s">
        <v>3514</v>
      </c>
    </row>
    <row customHeight="1" ht="11.25">
      <c r="A106" s="0" t="s">
        <v>16</v>
      </c>
      <c r="B106" s="0" t="s">
        <v>124</v>
      </c>
      <c r="C106" s="0" t="s">
        <v>125</v>
      </c>
      <c r="D106" s="0" t="s">
        <v>124</v>
      </c>
      <c r="E106" s="0" t="s">
        <v>125</v>
      </c>
      <c r="F106" s="0" t="s">
        <v>3278</v>
      </c>
      <c r="G106" s="0" t="s">
        <v>123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F00D5-3694-BE38-BF36-ADDD40E77DC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358" width="9.140625"/>
    <col min="2" max="2" style="10358" width="84.28125" customWidth="1"/>
    <col min="3" max="3" style="10358" width="9.140625"/>
  </cols>
  <sheetData>
    <row customHeight="1" ht="11.25">
      <c r="A1" s="948" t="s">
        <v>3540</v>
      </c>
      <c r="B1" s="948" t="s">
        <v>3541</v>
      </c>
      <c r="C1" s="948" t="s">
        <v>1263</v>
      </c>
    </row>
    <row customHeight="1" ht="11.25">
      <c r="A2" s="948">
        <v>4189678</v>
      </c>
      <c r="B2" s="948" t="s">
        <v>3542</v>
      </c>
      <c r="C2" s="948" t="s">
        <v>3543</v>
      </c>
    </row>
    <row customHeight="1" ht="11.25">
      <c r="A3" s="948">
        <v>4190415</v>
      </c>
      <c r="B3" s="948" t="s">
        <v>3544</v>
      </c>
      <c r="C3" s="948" t="s">
        <v>3543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641EA-53B8-22C9-51D5-4A5AE3804A5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363" width="38.421875" customWidth="1"/>
    <col min="2" max="5" style="10363" width="9.140625"/>
  </cols>
  <sheetData>
    <row customHeight="1" ht="15">
      <c r="A1" s="276" t="s">
        <v>3545</v>
      </c>
      <c r="B1" s="276" t="s">
        <v>3546</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AD89F-492D-BBCC-BB72-8A8620A81D9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3547</v>
      </c>
      <c r="B1" s="0" t="b">
        <v>1</v>
      </c>
    </row>
    <row customHeight="1" ht="11.25">
      <c r="A2" s="0" t="s">
        <v>3548</v>
      </c>
      <c r="B2" s="0" t="b">
        <v>0</v>
      </c>
    </row>
    <row customHeight="1" ht="11.25">
      <c r="A3" s="0" t="s">
        <v>3549</v>
      </c>
      <c r="B3" s="0" t="b">
        <v>0</v>
      </c>
    </row>
    <row customHeight="1" ht="11.25">
      <c r="A4" s="0" t="s">
        <v>3550</v>
      </c>
      <c r="B4" s="0" t="b">
        <v>0</v>
      </c>
    </row>
    <row customHeight="1" ht="11.25">
      <c r="A5" s="0" t="s">
        <v>3551</v>
      </c>
      <c r="B5" s="0" t="b">
        <v>1</v>
      </c>
    </row>
    <row customHeight="1" ht="11.25">
      <c r="A6" s="0" t="s">
        <v>3552</v>
      </c>
      <c r="B6" s="0" t="b">
        <v>0</v>
      </c>
    </row>
    <row customHeight="1" ht="11.25">
      <c r="A7" s="0" t="s">
        <v>3553</v>
      </c>
      <c r="B7" s="0" t="b">
        <v>0</v>
      </c>
    </row>
    <row customHeight="1" ht="11.25">
      <c r="A8" s="0" t="s">
        <v>3554</v>
      </c>
      <c r="B8" s="0" t="b">
        <v>0</v>
      </c>
    </row>
    <row customHeight="1" ht="11.25">
      <c r="A9" s="0" t="s">
        <v>3555</v>
      </c>
      <c r="B9" s="0" t="b">
        <v>0</v>
      </c>
    </row>
    <row customHeight="1" ht="11.25">
      <c r="A10" s="0" t="s">
        <v>3556</v>
      </c>
      <c r="B10" s="0" t="b">
        <v>0</v>
      </c>
    </row>
    <row customHeight="1" ht="11.25">
      <c r="A11" s="0" t="s">
        <v>3557</v>
      </c>
      <c r="B11" s="0" t="b">
        <v>0</v>
      </c>
    </row>
    <row customHeight="1" ht="11.25">
      <c r="A12" s="0" t="s">
        <v>3558</v>
      </c>
      <c r="B12" s="0" t="b">
        <v>0</v>
      </c>
    </row>
    <row customHeight="1" ht="11.25">
      <c r="A13" s="0" t="s">
        <v>3559</v>
      </c>
      <c r="B13" s="0" t="b">
        <v>0</v>
      </c>
    </row>
    <row customHeight="1" ht="11.25">
      <c r="A14" s="0" t="s">
        <v>3560</v>
      </c>
      <c r="B14" s="0" t="b">
        <v>1</v>
      </c>
    </row>
    <row customHeight="1" ht="11.25">
      <c r="A15" s="0" t="s">
        <v>3561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31EEA-BF05-5B76-F0B6-CB8D14D71B1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43"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69EF9-DB79-8857-3FB7-18B0692359D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28" width="36.28125" customWidth="1"/>
    <col min="2" max="2" style="5528" width="21.140625" customWidth="1"/>
  </cols>
  <sheetData>
    <row customHeight="1" ht="11.25">
      <c r="A1" s="180" t="s">
        <v>3562</v>
      </c>
      <c r="B1" s="180" t="s">
        <v>3563</v>
      </c>
    </row>
    <row customHeight="1" ht="11.25">
      <c r="A2" s="175" t="s">
        <v>3564</v>
      </c>
      <c r="B2" s="175" t="s">
        <v>3565</v>
      </c>
    </row>
    <row customHeight="1" ht="11.25">
      <c r="A3" s="175" t="s">
        <v>3566</v>
      </c>
      <c r="B3" s="175" t="s">
        <v>3567</v>
      </c>
    </row>
    <row customHeight="1" ht="11.25">
      <c r="A4" s="175" t="s">
        <v>3568</v>
      </c>
      <c r="B4" s="175" t="s">
        <v>3569</v>
      </c>
    </row>
    <row customHeight="1" ht="11.25">
      <c r="A5" s="175" t="s">
        <v>3570</v>
      </c>
      <c r="B5" s="175" t="s">
        <v>3571</v>
      </c>
    </row>
    <row customHeight="1" ht="11.25">
      <c r="A6" s="175" t="s">
        <v>3572</v>
      </c>
      <c r="B6" s="175" t="s">
        <v>3573</v>
      </c>
    </row>
    <row customHeight="1" ht="11.25">
      <c r="A7" s="175" t="s">
        <v>3574</v>
      </c>
      <c r="B7" s="175" t="s">
        <v>3575</v>
      </c>
    </row>
    <row customHeight="1" ht="11.25">
      <c r="A8" s="175" t="s">
        <v>3576</v>
      </c>
      <c r="B8" s="175" t="s">
        <v>3577</v>
      </c>
    </row>
    <row customHeight="1" ht="11.25">
      <c r="A9" s="175" t="s">
        <v>3578</v>
      </c>
      <c r="B9" s="175" t="s">
        <v>3579</v>
      </c>
    </row>
    <row customHeight="1" ht="11.25">
      <c r="A10" s="175" t="s">
        <v>3580</v>
      </c>
      <c r="B10" s="175" t="s">
        <v>3581</v>
      </c>
    </row>
    <row customHeight="1" ht="11.25">
      <c r="A11" s="175" t="s">
        <v>3582</v>
      </c>
      <c r="B11" s="175" t="s">
        <v>3583</v>
      </c>
    </row>
    <row customHeight="1" ht="11.25">
      <c r="A12" s="175" t="s">
        <v>3584</v>
      </c>
      <c r="B12" s="175" t="s">
        <v>3585</v>
      </c>
    </row>
    <row customHeight="1" ht="11.25">
      <c r="A13" s="175" t="s">
        <v>3586</v>
      </c>
      <c r="B13" s="175" t="s">
        <v>3587</v>
      </c>
    </row>
    <row customHeight="1" ht="11.25">
      <c r="A14" s="175" t="s">
        <v>3588</v>
      </c>
      <c r="B14" s="175" t="s">
        <v>3589</v>
      </c>
    </row>
    <row customHeight="1" ht="11.25">
      <c r="A15" s="175" t="s">
        <v>3590</v>
      </c>
      <c r="B15" s="175" t="s">
        <v>3591</v>
      </c>
    </row>
    <row customHeight="1" ht="11.25">
      <c r="A16" s="175" t="s">
        <v>3592</v>
      </c>
      <c r="B16" s="175" t="s">
        <v>3593</v>
      </c>
    </row>
    <row customHeight="1" ht="11.25">
      <c r="A17" s="175" t="s">
        <v>3594</v>
      </c>
      <c r="B17" s="175" t="s">
        <v>3595</v>
      </c>
    </row>
    <row customHeight="1" ht="11.25">
      <c r="A18" s="175" t="s">
        <v>3596</v>
      </c>
      <c r="B18" s="175" t="s">
        <v>3597</v>
      </c>
    </row>
    <row customHeight="1" ht="11.25">
      <c r="A19" s="175" t="s">
        <v>3598</v>
      </c>
      <c r="B19" s="175" t="s">
        <v>3599</v>
      </c>
    </row>
    <row customHeight="1" ht="11.25">
      <c r="A20" s="175" t="s">
        <v>3600</v>
      </c>
      <c r="B20" s="175" t="s">
        <v>3601</v>
      </c>
    </row>
    <row customHeight="1" ht="11.25">
      <c r="A21" s="175" t="s">
        <v>3602</v>
      </c>
      <c r="B21" s="175" t="s">
        <v>3603</v>
      </c>
    </row>
    <row customHeight="1" ht="11.25">
      <c r="A22" s="175" t="s">
        <v>3604</v>
      </c>
      <c r="B22" s="175" t="s">
        <v>3605</v>
      </c>
    </row>
    <row customHeight="1" ht="11.25">
      <c r="A23" s="175" t="s">
        <v>3606</v>
      </c>
      <c r="B23" s="175" t="s">
        <v>3607</v>
      </c>
    </row>
    <row customHeight="1" ht="11.25">
      <c r="A24" s="175" t="s">
        <v>3608</v>
      </c>
      <c r="B24" s="175" t="s">
        <v>3609</v>
      </c>
    </row>
    <row customHeight="1" ht="11.25">
      <c r="A25" s="175" t="s">
        <v>3610</v>
      </c>
      <c r="B25" s="175" t="s">
        <v>3611</v>
      </c>
    </row>
    <row customHeight="1" ht="11.25">
      <c r="A26" s="175" t="s">
        <v>3612</v>
      </c>
      <c r="B26" s="175" t="s">
        <v>3613</v>
      </c>
    </row>
    <row customHeight="1" ht="11.25">
      <c r="A27" s="175" t="s">
        <v>3614</v>
      </c>
      <c r="B27" s="175" t="s">
        <v>3615</v>
      </c>
    </row>
    <row customHeight="1" ht="11.25">
      <c r="A28" s="175" t="s">
        <v>3616</v>
      </c>
      <c r="B28" s="175" t="s">
        <v>3617</v>
      </c>
    </row>
    <row customHeight="1" ht="11.25">
      <c r="A29" s="175" t="s">
        <v>3618</v>
      </c>
      <c r="B29" s="175" t="s">
        <v>3619</v>
      </c>
    </row>
    <row customHeight="1" ht="11.25">
      <c r="A30" s="175" t="s">
        <v>3620</v>
      </c>
      <c r="B30" s="175" t="s">
        <v>3621</v>
      </c>
    </row>
    <row customHeight="1" ht="11.25">
      <c r="A31" s="175" t="s">
        <v>3622</v>
      </c>
      <c r="B31" s="175" t="s">
        <v>3623</v>
      </c>
    </row>
    <row customHeight="1" ht="11.25">
      <c r="A32" s="175" t="s">
        <v>3624</v>
      </c>
      <c r="B32" s="175" t="s">
        <v>3625</v>
      </c>
    </row>
    <row customHeight="1" ht="11.25">
      <c r="A33" s="175" t="s">
        <v>3626</v>
      </c>
      <c r="B33" s="175" t="s">
        <v>3627</v>
      </c>
    </row>
    <row customHeight="1" ht="11.25">
      <c r="A34" s="175" t="s">
        <v>3628</v>
      </c>
      <c r="B34" s="175" t="s">
        <v>3629</v>
      </c>
    </row>
    <row customHeight="1" ht="11.25">
      <c r="A35" s="175" t="s">
        <v>3630</v>
      </c>
      <c r="B35" s="175" t="s">
        <v>3631</v>
      </c>
    </row>
    <row customHeight="1" ht="11.25">
      <c r="A36" s="175" t="s">
        <v>3632</v>
      </c>
      <c r="B36" s="175" t="s">
        <v>3633</v>
      </c>
    </row>
    <row customHeight="1" ht="11.25">
      <c r="A37" s="175" t="s">
        <v>3634</v>
      </c>
      <c r="B37" s="175" t="s">
        <v>3635</v>
      </c>
    </row>
    <row customHeight="1" ht="11.25">
      <c r="A38" s="175" t="s">
        <v>3636</v>
      </c>
      <c r="B38" s="175" t="s">
        <v>3637</v>
      </c>
    </row>
    <row customHeight="1" ht="11.25">
      <c r="A39" s="175" t="s">
        <v>3638</v>
      </c>
      <c r="B39" s="175" t="s">
        <v>3639</v>
      </c>
    </row>
    <row customHeight="1" ht="11.25">
      <c r="A40" s="175" t="s">
        <v>3640</v>
      </c>
      <c r="B40" s="175" t="s">
        <v>3641</v>
      </c>
    </row>
    <row customHeight="1" ht="11.25">
      <c r="A41" s="175" t="s">
        <v>3642</v>
      </c>
      <c r="B41" s="175" t="s">
        <v>3643</v>
      </c>
    </row>
    <row customHeight="1" ht="11.25">
      <c r="A42" s="175" t="s">
        <v>3644</v>
      </c>
      <c r="B42" s="175" t="s">
        <v>3645</v>
      </c>
    </row>
    <row customHeight="1" ht="11.25">
      <c r="A43" s="175" t="s">
        <v>3646</v>
      </c>
      <c r="B43" s="175" t="s">
        <v>3647</v>
      </c>
    </row>
    <row customHeight="1" ht="11.25">
      <c r="A44" s="175" t="s">
        <v>3648</v>
      </c>
      <c r="B44" s="175" t="s">
        <v>3649</v>
      </c>
    </row>
    <row customHeight="1" ht="11.25">
      <c r="A45" s="175" t="s">
        <v>3650</v>
      </c>
      <c r="B45" s="175" t="s">
        <v>3651</v>
      </c>
    </row>
    <row customHeight="1" ht="11.25">
      <c r="A46" s="175" t="s">
        <v>3652</v>
      </c>
      <c r="B46" s="175" t="s">
        <v>3653</v>
      </c>
    </row>
    <row customHeight="1" ht="11.25">
      <c r="A47" s="175" t="s">
        <v>3654</v>
      </c>
      <c r="B47" s="175" t="s">
        <v>3655</v>
      </c>
    </row>
    <row customHeight="1" ht="11.25">
      <c r="A48" s="175" t="s">
        <v>3656</v>
      </c>
      <c r="B48" s="175" t="s">
        <v>3657</v>
      </c>
    </row>
    <row customHeight="1" ht="11.25">
      <c r="A49" s="175" t="s">
        <v>3658</v>
      </c>
      <c r="B49" s="175" t="s">
        <v>3659</v>
      </c>
    </row>
    <row customHeight="1" ht="11.25">
      <c r="A50" s="175" t="s">
        <v>3660</v>
      </c>
      <c r="B50" s="175" t="s">
        <v>3661</v>
      </c>
    </row>
    <row customHeight="1" ht="11.25">
      <c r="A51" s="175" t="s">
        <v>3662</v>
      </c>
      <c r="B51" s="175" t="s">
        <v>3663</v>
      </c>
    </row>
    <row customHeight="1" ht="11.25">
      <c r="A52" s="175" t="s">
        <v>3664</v>
      </c>
      <c r="B52" s="175" t="s">
        <v>3665</v>
      </c>
    </row>
    <row customHeight="1" ht="11.25">
      <c r="A53" s="175" t="s">
        <v>3666</v>
      </c>
      <c r="B53" s="175" t="s">
        <v>3667</v>
      </c>
    </row>
    <row customHeight="1" ht="11.25">
      <c r="A54" s="175" t="s">
        <v>3668</v>
      </c>
      <c r="B54" s="175" t="s">
        <v>3669</v>
      </c>
    </row>
    <row customHeight="1" ht="11.25">
      <c r="A55" s="175" t="s">
        <v>3670</v>
      </c>
      <c r="B55" s="175" t="s">
        <v>3671</v>
      </c>
    </row>
    <row customHeight="1" ht="11.25">
      <c r="A56" s="175" t="s">
        <v>3672</v>
      </c>
      <c r="B56" s="175" t="s">
        <v>3673</v>
      </c>
    </row>
    <row customHeight="1" ht="11.25">
      <c r="A57" s="175" t="s">
        <v>3674</v>
      </c>
      <c r="B57" s="175" t="s">
        <v>3675</v>
      </c>
    </row>
    <row customHeight="1" ht="11.25">
      <c r="A58" s="175" t="s">
        <v>3676</v>
      </c>
      <c r="B58" s="175" t="s">
        <v>3677</v>
      </c>
    </row>
    <row customHeight="1" ht="11.25">
      <c r="A59" s="175" t="s">
        <v>3678</v>
      </c>
      <c r="B59" s="175" t="s">
        <v>3679</v>
      </c>
    </row>
    <row customHeight="1" ht="11.25">
      <c r="A60" s="175" t="s">
        <v>3680</v>
      </c>
      <c r="B60" s="175" t="s">
        <v>3681</v>
      </c>
    </row>
    <row customHeight="1" ht="11.25">
      <c r="A61" s="175"/>
      <c r="B61" s="175" t="s">
        <v>3682</v>
      </c>
    </row>
    <row customHeight="1" ht="11.25">
      <c r="A62" s="175"/>
      <c r="B62" s="175" t="s">
        <v>3683</v>
      </c>
    </row>
    <row customHeight="1" ht="11.25">
      <c r="A63" s="175"/>
      <c r="B63" s="175" t="s">
        <v>3684</v>
      </c>
    </row>
    <row customHeight="1" ht="11.25">
      <c r="A64" s="175"/>
      <c r="B64" s="175" t="s">
        <v>3685</v>
      </c>
    </row>
    <row customHeight="1" ht="11.25">
      <c r="A65" s="175"/>
      <c r="B65" s="175" t="s">
        <v>3686</v>
      </c>
    </row>
    <row customHeight="1" ht="11.25">
      <c r="A66" s="175"/>
      <c r="B66" s="175" t="s">
        <v>3687</v>
      </c>
    </row>
    <row customHeight="1" ht="11.25">
      <c r="A67" s="175"/>
      <c r="B67" s="175" t="s">
        <v>3688</v>
      </c>
    </row>
    <row customHeight="1" ht="11.25">
      <c r="A68" s="175"/>
      <c r="B68" s="175" t="s">
        <v>3689</v>
      </c>
    </row>
    <row customHeight="1" ht="11.25">
      <c r="A69" s="175"/>
      <c r="B69" s="175" t="s">
        <v>3690</v>
      </c>
    </row>
    <row customHeight="1" ht="11.25">
      <c r="A70" s="175"/>
      <c r="B70" s="175" t="s">
        <v>3691</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BAEF5-F081-DA51-DAC1-9DB3BAEBE02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28" width="3.7109375" customWidth="1"/>
    <col min="2" max="2" style="5528" width="90.7109375" customWidth="1"/>
    <col min="3" max="4" style="5528" width="9.140625"/>
  </cols>
  <sheetData>
    <row customHeight="1" ht="11.25">
      <c r="B1" s="206" t="s">
        <v>3692</v>
      </c>
    </row>
    <row customHeight="1" ht="90">
      <c r="B2" s="207" t="s">
        <v>3693</v>
      </c>
    </row>
    <row customHeight="1" ht="67.5">
      <c r="B3" s="207" t="s">
        <v>3694</v>
      </c>
    </row>
    <row customHeight="1" ht="33.75">
      <c r="B4" s="207" t="s">
        <v>3695</v>
      </c>
    </row>
    <row customHeight="1" ht="11.25">
      <c r="B5" s="207" t="s">
        <v>3696</v>
      </c>
    </row>
    <row customHeight="1" ht="22.5">
      <c r="B6" s="207" t="s">
        <v>3697</v>
      </c>
    </row>
    <row customHeight="1" ht="22.5">
      <c r="B7" s="207" t="s">
        <v>3698</v>
      </c>
    </row>
    <row customHeight="1" ht="22.5">
      <c r="B8" s="207" t="s">
        <v>3699</v>
      </c>
    </row>
    <row customHeight="1" ht="22.5">
      <c r="B9" s="207" t="s">
        <v>3700</v>
      </c>
    </row>
    <row customHeight="1" ht="56.25">
      <c r="B10" s="207" t="s">
        <v>3701</v>
      </c>
    </row>
    <row customHeight="1" ht="12.75">
      <c r="B11" s="272" t="s">
        <v>3702</v>
      </c>
    </row>
    <row customHeight="1" ht="11.25">
      <c r="B12" s="206" t="s">
        <v>3703</v>
      </c>
    </row>
    <row customHeight="1" ht="22.5">
      <c r="B13" s="207" t="s">
        <v>3704</v>
      </c>
    </row>
    <row customHeight="1" ht="67.5">
      <c r="B14" s="207" t="s">
        <v>3705</v>
      </c>
    </row>
    <row customHeight="1" ht="22.5">
      <c r="B15" s="207" t="s">
        <v>3706</v>
      </c>
    </row>
    <row customHeight="1" ht="11.25">
      <c r="B16" s="206" t="s">
        <v>3707</v>
      </c>
      <c r="D16" s="213"/>
    </row>
    <row customHeight="1" ht="33.75">
      <c r="B17" s="207" t="s">
        <v>3708</v>
      </c>
    </row>
    <row customHeight="1" ht="33.75">
      <c r="B18" s="207" t="s">
        <v>3709</v>
      </c>
    </row>
    <row customHeight="1" ht="11.25">
      <c r="B19" s="207" t="s">
        <v>3710</v>
      </c>
    </row>
    <row customHeight="1" ht="33.75">
      <c r="B20" s="207" t="s">
        <v>3711</v>
      </c>
    </row>
    <row customHeight="1" ht="11.25">
      <c r="B21" s="206" t="s">
        <v>3712</v>
      </c>
    </row>
    <row customHeight="1" ht="11.25">
      <c r="B22" s="207" t="s">
        <v>3713</v>
      </c>
    </row>
    <row r="24" customHeight="1" ht="22.5">
      <c r="B24" s="274" t="s">
        <v>3714</v>
      </c>
    </row>
    <row r="26" customHeight="1" ht="11.25">
      <c r="B26" s="206" t="s">
        <v>3715</v>
      </c>
    </row>
    <row customHeight="1" ht="22.5">
      <c r="B27" s="273" t="s">
        <v>489</v>
      </c>
    </row>
    <row customHeight="1" ht="56.25">
      <c r="B28" s="273" t="s">
        <v>3716</v>
      </c>
    </row>
    <row customHeight="1" ht="11.25">
      <c r="B29" s="323" t="s">
        <v>3717</v>
      </c>
    </row>
    <row customHeight="1" ht="22.5">
      <c r="B30" s="273" t="s">
        <v>3718</v>
      </c>
    </row>
    <row r="32" customHeight="1" ht="11.25">
      <c r="A32" s="301"/>
      <c r="B32" s="302" t="s">
        <v>3719</v>
      </c>
    </row>
    <row customHeight="1" ht="14.25">
      <c r="A33" s="303">
        <v>1</v>
      </c>
      <c r="B33" s="304" t="s">
        <v>3720</v>
      </c>
    </row>
    <row customHeight="1" ht="14.25">
      <c r="A34" s="303">
        <v>2</v>
      </c>
      <c r="B34" s="304" t="s">
        <v>3721</v>
      </c>
    </row>
    <row customHeight="1" ht="11.25">
      <c r="B35" s="302" t="s">
        <v>3722</v>
      </c>
    </row>
    <row customHeight="1" ht="11.25">
      <c r="B36" s="304" t="s">
        <v>3723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